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CDC4ECED-44E8-D64D-ACA0-E6EDC697528A}" xr6:coauthVersionLast="47" xr6:coauthVersionMax="47" xr10:uidLastSave="{00000000-0000-0000-0000-000000000000}"/>
  <bookViews>
    <workbookView xWindow="740" yWindow="740" windowWidth="12700" windowHeight="764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E87" i="3" s="1"/>
  <c r="C92" i="3"/>
  <c r="B92" i="3" l="1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<sst xmlns="http://schemas.openxmlformats.org/spreadsheetml/2006/main" count="250" uniqueCount="228">
  <si>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</si>
  <si>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</si>
  <si>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</si>
  <si>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</si>
  <si>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</si>
  <si>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</si>
  <si>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</si>
  <si>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</si>
  <si>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</si>
  <si>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</si>
  <si>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</si>
  <si>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</si>
  <si>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</si>
  <si>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</si>
  <si>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</si>
  <si>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</si>
  <si>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</si>
  <si>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</si>
  <si>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</si>
  <si>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</si>
  <si>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</si>
  <si>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</si>
  <si>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</si>
  <si>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</si>
  <si>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</si>
  <si>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</si>
  <si>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</si>
  <si>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</si>
  <si>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</si>
  <si>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</si>
  <si>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</si>
  <si>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</si>
  <si>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</si>
  <si>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</si>
  <si>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</si>
  <si>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</si>
  <si>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</si>
  <si>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</si>
  <si>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</si>
  <si>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</si>
  <si>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</si>
  <si>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</si>
  <si>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</si>
  <si>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</si>
  <si>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</si>
  <si>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</si>
  <si>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</si>
  <si>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</si>
  <si>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</si>
  <si>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</si>
  <si>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</si>
  <si>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</si>
  <si>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</si>
  <si>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</si>
  <si>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</si>
  <si>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</si>
  <si>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</si>
  <si>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</si>
  <si>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</si>
  <si>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</si>
  <si>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</si>
  <si>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</si>
  <si>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</si>
  <si>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</si>
  <si>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</si>
  <si>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</si>
  <si>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</si>
  <si>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</si>
  <si>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</si>
  <si>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</si>
  <si>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</si>
  <si>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</si>
  <si>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</si>
  <si>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</si>
  <si>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</si>
  <si>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</si>
  <si>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</si>
  <si>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</si>
  <si>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</si>
  <si>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</si>
  <si>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</si>
  <si>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</si>
  <si>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</si>
  <si>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</si>
  <si>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</si>
  <si>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</si>
  <si>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</si>
  <si>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</si>
  <si>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</si>
  <si>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</si>
  <si>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</si>
  <si>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</si>
  <si>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</si>
  <si>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</si>
  <si>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</si>
  <si>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</si>
  <si>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</si>
  <si>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</si>
  <si>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</si>
  <si>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</si>
  <si>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</si>
  <si>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</si>
  <si>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</si>
  <si>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</si>
  <si>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</si>
  <si>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</si>
  <si>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</si>
  <si>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</si>
  <si>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</si>
  <si>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</si>
  <si>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</si>
  <si>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</si>
  <si>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</si>
  <si>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</si>
  <si>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</si>
  <si>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</si>
  <si>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</si>
  <si>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</si>
  <si>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</si>
  <si>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</si>
  <si>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</si>
  <si>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</si>
  <si>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</si>
  <si>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</si>
  <si>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</si>
  <si>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</si>
  <si>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</si>
  <si>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</si>
  <si>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</si>
  <si>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</si>
  <si>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</si>
  <si>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</si>
  <si>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</si>
  <si>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</si>
  <si>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</si>
  <si>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</si>
  <si>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</si>
  <si>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</si>
  <si>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</si>
  <si>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</si>
  <si>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</si>
  <si>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</si>
  <si>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</si>
  <si>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</si>
  <si>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</si>
  <si>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</si>
  <si>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</si>
  <si>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</si>
  <si>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</si>
  <si>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</si>
  <si>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</si>
  <si>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</si>
  <si>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</si>
  <si>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</si>
  <si>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</si>
  <si>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</si>
  <si>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</si>
  <si>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</si>
  <si>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</si>
  <si>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</si>
  <si>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</si>
  <si>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</si>
  <si>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</si>
  <si>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</si>
  <si>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</si>
  <si>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</si>
  <si>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</si>
  <si>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</si>
  <si>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</si>
  <si>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</si>
  <si>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</si>
  <si>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</si>
  <si>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</si>
  <si>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</si>
  <si>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</si>
  <si>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</si>
  <si>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</si>
  <si>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</si>
  <si>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</si>
  <si>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</si>
  <si>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</si>
  <si>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</si>
  <si>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</si>
  <si>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</si>
  <si>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</si>
  <si>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</si>
  <si>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</si>
  <si>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</si>
  <si>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</si>
  <si>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</si>
  <si>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</si>
  <si>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</si>
  <si>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</si>
  <si>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</si>
  <si>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</si>
  <si>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</si>
  <si>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</si>
  <si>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</si>
  <si>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</si>
  <si>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</si>
  <si>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</si>
  <si>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</si>
  <si>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</si>
  <si>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</si>
  <si>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</si>
  <si>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</si>
  <si>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</si>
  <si>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</si>
  <si>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</si>
  <si>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</si>
  <si>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</si>
  <si>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</si>
  <si>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</si>
  <si>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</si>
  <si>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</si>
  <si>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</si>
  <si>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</si>
  <si>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</si>
  <si>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</si>
  <si>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</si>
  <si>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</si>
  <si>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</si>
  <si>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</si>
  <si>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</si>
  <si>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</si>
  <si>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六福珠宝</t>
    <phoneticPr fontId="20" type="noConversion"/>
  </si>
  <si>
    <t>0590.HK</t>
    <phoneticPr fontId="20" type="noConversion"/>
  </si>
  <si>
    <t>C0003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</si>
</sst>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yyyy\-mm\-dd"/>
    <numFmt numFmtId="165" formatCode="#,##0&quot;mm&quot;"/>
    <numFmt numFmtId="166" formatCode="#,##0.00&quot;x&quot;"/>
    <numFmt numFmtId="167" formatCode="0.00\x"/>
    <numFmt numFmtId="168" formatCode="yyyy\-mm\-dd;@"/>
    <numFmt numFmtId="169" formatCode="_(* #,##0_);_(* \(#,##0\);_(* &quot;-&quot;??_);_(@_)"/>
    <numFmt numFmtId="170" formatCode="&quot;in&quot;\ 0\ &quot;Months&quot;"/>
    <numFmt numFmtId="171" formatCode="#,##0.00_ "/>
    <numFmt numFmtId="172" formatCode="#,##0.0000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69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8" fontId="15" fillId="4" borderId="2" xfId="0" applyNumberFormat="1" applyFont="1" applyFill="1" applyBorder="1" applyAlignment="1">
      <alignment horizontal="center"/>
    </xf>
    <xf numFmtId="168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8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7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8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8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1" fontId="4" fillId="0" borderId="3" xfId="0" applyNumberFormat="1" applyFont="1" applyBorder="1" applyAlignment="1">
      <alignment horizontal="center"/>
    </xf>
    <xf numFmtId="171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2" fontId="6" fillId="0" borderId="3" xfId="0" applyNumberFormat="1" applyFont="1" applyBorder="1" applyAlignment="1">
      <alignment horizontal="center"/>
    </xf>
    <xf numFmtId="172" fontId="2" fillId="0" borderId="12" xfId="0" applyNumberFormat="1" applyFont="1" applyBorder="1" applyAlignment="1">
      <alignment horizontal="center"/>
    </xf>
    <xf numFmtId="172" fontId="1" fillId="0" borderId="11" xfId="0" applyNumberFormat="1" applyFont="1" applyBorder="1" applyAlignment="1">
      <alignment horizontal="center"/>
    </xf>
    <xf numFmtId="172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6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0" fontId="2" fillId="8" borderId="3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64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68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8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4" zoomScaleNormal="100" workbookViewId="0">
      <selection activeCell="C6" sqref="C6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0590.HK : 六福珠宝</v>
      </c>
      <c r="D2" s="94"/>
      <c r="E2" s="7"/>
      <c r="F2" s="7"/>
      <c r="G2" s="93"/>
      <c r="H2" s="93"/>
    </row>
    <row r="3" spans="1:10" ht="15.75" customHeight="1" x14ac:dyDescent="0.15">
      <c r="B3" s="3" t="s">
        <v>222</v>
      </c>
      <c r="C3" s="199" t="s">
        <v>226</v>
      </c>
      <c r="D3" s="200"/>
      <c r="E3" s="94"/>
      <c r="F3" s="3" t="s">
        <v>1</v>
      </c>
      <c r="G3" s="171">
        <v>15.039999961853027</v>
      </c>
      <c r="H3" s="173" t="s">
        <v>2</v>
      </c>
    </row>
    <row r="4" spans="1:10" ht="15.75" customHeight="1" x14ac:dyDescent="0.25">
      <c r="B4" s="35" t="s">
        <v>223</v>
      </c>
      <c r="C4" s="201" t="s">
        <v>225</v>
      </c>
      <c r="D4" s="202"/>
      <c r="E4" s="94"/>
      <c r="F4" s="3" t="s">
        <v>3</v>
      </c>
      <c r="G4" s="205">
        <v>587107850</v>
      </c>
      <c r="H4" s="205"/>
      <c r="I4" s="39"/>
    </row>
    <row r="5" spans="1:10" ht="15.75" customHeight="1" x14ac:dyDescent="0.15">
      <c r="B5" s="3" t="s">
        <v>180</v>
      </c>
      <c r="C5" s="203">
        <v>45593</v>
      </c>
      <c r="D5" s="204"/>
      <c r="E5" s="34"/>
      <c r="F5" s="35" t="s">
        <v>102</v>
      </c>
      <c r="G5" s="197">
        <f>G3*G4/1000000</f>
        <v>8830.1020416036135</v>
      </c>
      <c r="H5" s="197"/>
      <c r="I5" s="38"/>
      <c r="J5" s="28"/>
    </row>
    <row r="6" spans="1:10" ht="15.75" customHeight="1" x14ac:dyDescent="0.15">
      <c r="B6" s="94" t="s">
        <v>4</v>
      </c>
      <c r="C6" s="191">
        <v>8</v>
      </c>
      <c r="D6" s="192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198" t="s">
        <v>2</v>
      </c>
      <c r="H6" s="198"/>
      <c r="I6" s="38"/>
    </row>
    <row r="7" spans="1:10" ht="15.75" customHeight="1" x14ac:dyDescent="0.15">
      <c r="B7" s="93" t="s">
        <v>220</v>
      </c>
      <c r="C7" s="190" t="s">
        <v>46</v>
      </c>
      <c r="D7" s="196" t="s">
        <v>227</v>
      </c>
      <c r="E7" s="94"/>
      <c r="F7" s="35" t="s">
        <v>6</v>
      </c>
      <c r="G7" s="172">
        <v>1</v>
      </c>
      <c r="H7" s="77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80" t="s">
        <v>218</v>
      </c>
      <c r="F9" s="186" t="s">
        <v>211</v>
      </c>
    </row>
    <row r="10" spans="1:10" ht="15.75" customHeight="1" x14ac:dyDescent="0.15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2">
      <c r="B11" s="147" t="s">
        <v>203</v>
      </c>
      <c r="C11" s="184">
        <v>5.3099999999999994E-2</v>
      </c>
      <c r="D11" s="177" t="s">
        <v>216</v>
      </c>
      <c r="F11" s="125" t="s">
        <v>201</v>
      </c>
    </row>
    <row r="12" spans="1:10" ht="15.75" customHeight="1" thickTop="1" x14ac:dyDescent="0.15">
      <c r="B12" s="94" t="s">
        <v>142</v>
      </c>
      <c r="C12" s="193">
        <v>0.08</v>
      </c>
      <c r="D12" s="170">
        <v>9.6250000000000002E-2</v>
      </c>
      <c r="F12" s="125"/>
    </row>
    <row r="13" spans="1:10" ht="15.75" customHeight="1" x14ac:dyDescent="0.15"/>
    <row r="14" spans="1:10" ht="15.75" customHeight="1" x14ac:dyDescent="0.15">
      <c r="B14" s="1" t="s">
        <v>200</v>
      </c>
      <c r="C14" s="170">
        <v>2.0799999999999999E-2</v>
      </c>
      <c r="F14" s="125" t="s">
        <v>206</v>
      </c>
    </row>
    <row r="15" spans="1:10" ht="15.75" customHeight="1" x14ac:dyDescent="0.15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2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15">
      <c r="B17" s="94" t="s">
        <v>205</v>
      </c>
      <c r="C17" s="194">
        <v>0.1125</v>
      </c>
      <c r="D17" s="189"/>
    </row>
    <row r="18" spans="1:8" ht="15.75" customHeight="1" x14ac:dyDescent="0.15"/>
    <row r="19" spans="1:8" ht="15.75" customHeight="1" x14ac:dyDescent="0.15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15">
      <c r="B20" s="177" t="s">
        <v>187</v>
      </c>
      <c r="C20" s="178">
        <f>Fin_Analysis!F75</f>
        <v>0.72762956087193742</v>
      </c>
      <c r="F20" s="181" t="s">
        <v>195</v>
      </c>
      <c r="G20" s="178">
        <f>Fin_Analysis!F91</f>
        <v>8.5237544632605092E-2</v>
      </c>
    </row>
    <row r="21" spans="1:8" ht="15.75" customHeight="1" x14ac:dyDescent="0.15">
      <c r="B21" s="177" t="s">
        <v>188</v>
      </c>
      <c r="C21" s="178">
        <f>Fin_Analysis!F77</f>
        <v>0.12012374818624762</v>
      </c>
      <c r="F21" s="181" t="s">
        <v>194</v>
      </c>
      <c r="G21" s="178">
        <f>Fin_Analysis!F92</f>
        <v>0.02</v>
      </c>
    </row>
    <row r="22" spans="1:8" ht="15.75" customHeight="1" x14ac:dyDescent="0.15">
      <c r="B22" s="177" t="s">
        <v>189</v>
      </c>
      <c r="C22" s="178">
        <f>Fin_Analysis!F79</f>
        <v>3.8885650375487034E-3</v>
      </c>
      <c r="F22" s="185" t="s">
        <v>210</v>
      </c>
    </row>
    <row r="23" spans="1:8" ht="15.75" customHeight="1" x14ac:dyDescent="0.15">
      <c r="B23" s="177" t="s">
        <v>190</v>
      </c>
      <c r="C23" s="178">
        <f>Fin_Analysis!F80</f>
        <v>0.03</v>
      </c>
      <c r="F23" s="181" t="s">
        <v>214</v>
      </c>
      <c r="G23" s="188">
        <f>G3/(Data!C34*Data!E3/Common_Shares*Exchange_Rate)</f>
        <v>0.68642506661694713</v>
      </c>
    </row>
    <row r="24" spans="1:8" ht="15.75" customHeight="1" x14ac:dyDescent="0.15">
      <c r="B24" s="177" t="s">
        <v>191</v>
      </c>
      <c r="C24" s="178">
        <f>Fin_Analysis!F81</f>
        <v>4.0883763120383568E-2</v>
      </c>
      <c r="F24" s="181" t="s">
        <v>198</v>
      </c>
      <c r="G24" s="182">
        <f>(Fin_Analysis!E86*G7)/G3</f>
        <v>0.10085125299846182</v>
      </c>
    </row>
    <row r="25" spans="1:8" ht="15.75" customHeight="1" x14ac:dyDescent="0.15">
      <c r="B25" s="177" t="s">
        <v>219</v>
      </c>
      <c r="C25" s="178">
        <f>Fin_Analysis!F82</f>
        <v>0</v>
      </c>
      <c r="F25" s="181" t="s">
        <v>197</v>
      </c>
      <c r="G25" s="178">
        <f>Fin_Analysis!F87</f>
        <v>0.8966227930318843</v>
      </c>
    </row>
    <row r="26" spans="1:8" ht="15.75" customHeight="1" x14ac:dyDescent="0.15">
      <c r="B26" s="179" t="s">
        <v>193</v>
      </c>
      <c r="C26" s="178">
        <f>Fin_Analysis!F83</f>
        <v>7.7474362783882672E-2</v>
      </c>
      <c r="F26" s="183" t="s">
        <v>221</v>
      </c>
      <c r="G26" s="182">
        <f>Fin_Analysis!E87*Exchange_Rate/G3</f>
        <v>9.0425532144246021E-2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15">
      <c r="B29" s="94" t="s">
        <v>186</v>
      </c>
      <c r="C29" s="168">
        <f>IF(Fin_Analysis!C103="Profit",Fin_Analysis!E98,Fin_Analysis!E101)</f>
        <v>16.470510385755542</v>
      </c>
      <c r="D29" s="167">
        <f>IF(Fin_Analysis!C103="Profit",Fin_Analysis!F98,Fin_Analysis!F101)</f>
        <v>27.450850642925904</v>
      </c>
      <c r="E29" s="94"/>
      <c r="F29" s="169">
        <f>IF(Fin_Analysis!C103="Profit",Fin_Analysis!D98,Fin_Analysis!D101)</f>
        <v>21.960680514340723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45381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40" t="s">
        <v>146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15">
      <c r="A6" s="4"/>
      <c r="B6" s="105" t="s">
        <v>12</v>
      </c>
      <c r="C6" s="58">
        <v>15325962</v>
      </c>
      <c r="D6" s="58">
        <v>11977844</v>
      </c>
      <c r="E6" s="58">
        <v>11737803</v>
      </c>
      <c r="F6" s="58">
        <v>8861335</v>
      </c>
      <c r="G6" s="58">
        <v>11233771</v>
      </c>
      <c r="H6" s="58">
        <v>15859990</v>
      </c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0.27952593137796744</v>
      </c>
      <c r="D7" s="103">
        <f t="shared" si="1"/>
        <v>2.0450249505806095E-2</v>
      </c>
      <c r="E7" s="103">
        <f t="shared" si="1"/>
        <v>0.32460887665346139</v>
      </c>
      <c r="F7" s="103">
        <f t="shared" si="1"/>
        <v>-0.21118785490642455</v>
      </c>
      <c r="G7" s="103">
        <f t="shared" si="1"/>
        <v>-0.29169116752280422</v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11151623</v>
      </c>
      <c r="D8" s="92">
        <v>8747447</v>
      </c>
      <c r="E8" s="92">
        <v>8503976</v>
      </c>
      <c r="F8" s="92">
        <v>6229020</v>
      </c>
      <c r="G8" s="92">
        <v>7910751</v>
      </c>
      <c r="H8" s="92">
        <v>11826154</v>
      </c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4174339</v>
      </c>
      <c r="D9" s="101">
        <f t="shared" si="2"/>
        <v>3230397</v>
      </c>
      <c r="E9" s="101">
        <f t="shared" si="2"/>
        <v>3233827</v>
      </c>
      <c r="F9" s="101">
        <f t="shared" si="2"/>
        <v>2632315</v>
      </c>
      <c r="G9" s="101">
        <f t="shared" si="2"/>
        <v>3323020</v>
      </c>
      <c r="H9" s="101">
        <f t="shared" si="2"/>
        <v>4033836</v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v>2297566</v>
      </c>
      <c r="D10" s="92">
        <v>1867515</v>
      </c>
      <c r="E10" s="92">
        <v>1815111</v>
      </c>
      <c r="F10" s="92">
        <v>1694480</v>
      </c>
      <c r="G10" s="92">
        <v>2118252</v>
      </c>
      <c r="H10" s="92">
        <v>2416769</v>
      </c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2.9789581887257714E-2</v>
      </c>
      <c r="D11" s="97">
        <f t="shared" si="3"/>
        <v>3.1156775793707115E-2</v>
      </c>
      <c r="E11" s="97">
        <f t="shared" si="3"/>
        <v>0</v>
      </c>
      <c r="F11" s="97">
        <f t="shared" si="3"/>
        <v>0</v>
      </c>
      <c r="G11" s="97">
        <f t="shared" si="3"/>
        <v>0</v>
      </c>
      <c r="H11" s="97">
        <f t="shared" si="3"/>
        <v>0</v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>
        <v>456554</v>
      </c>
      <c r="D12" s="92">
        <v>373191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2333327</v>
      </c>
      <c r="D13" s="101">
        <f t="shared" ref="D13:M13" si="4">IF(D6="","",(D9-D10+D12))</f>
        <v>1736073</v>
      </c>
      <c r="E13" s="101">
        <f t="shared" si="4"/>
        <v>1418716</v>
      </c>
      <c r="F13" s="101">
        <f t="shared" si="4"/>
        <v>937835</v>
      </c>
      <c r="G13" s="101">
        <f t="shared" si="4"/>
        <v>1204768</v>
      </c>
      <c r="H13" s="101">
        <f t="shared" si="4"/>
        <v>1617067</v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>
        <v>676387</v>
      </c>
      <c r="D15" s="92">
        <v>107280</v>
      </c>
      <c r="E15" s="92">
        <v>455483</v>
      </c>
      <c r="F15" s="92">
        <v>138937</v>
      </c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>
        <v>626583</v>
      </c>
      <c r="D16" s="92">
        <v>352099</v>
      </c>
      <c r="E16" s="92">
        <v>1045251</v>
      </c>
      <c r="F16" s="92">
        <v>-818677</v>
      </c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59596</v>
      </c>
      <c r="D17" s="92">
        <v>20763</v>
      </c>
      <c r="E17" s="92">
        <v>23097</v>
      </c>
      <c r="F17" s="92">
        <v>28849</v>
      </c>
      <c r="G17" s="92">
        <v>63075</v>
      </c>
      <c r="H17" s="92">
        <v>34253</v>
      </c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-9467</v>
      </c>
      <c r="D18" s="92">
        <v>-30</v>
      </c>
      <c r="E18" s="92">
        <v>-27</v>
      </c>
      <c r="F18" s="92">
        <v>1799</v>
      </c>
      <c r="G18" s="92">
        <v>1337</v>
      </c>
      <c r="H18" s="92">
        <v>10908</v>
      </c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970761</v>
      </c>
      <c r="D19" s="95">
        <f>IF(D6="","",D13-D14-MAX(D15,0)-MAX(D16,0)-D17-MAX(D18/(1-Fin_Analysis!$F$84),0))</f>
        <v>1255931</v>
      </c>
      <c r="E19" s="95">
        <f>IF(E6="","",E13-E14-MAX(E15,0)-MAX(E16,0)-E17-MAX(E18/(1-Fin_Analysis!$F$84),0))</f>
        <v>-105115</v>
      </c>
      <c r="F19" s="95">
        <f>IF(F6="","",F13-F14-MAX(F15,0)-MAX(F16,0)-F17-MAX(F18/(1-Fin_Analysis!$F$84),0))</f>
        <v>767650.33333333337</v>
      </c>
      <c r="G19" s="95">
        <f>IF(G6="","",G13-G14-MAX(G15,0)-MAX(G16,0)-G17-MAX(G18/(1-Fin_Analysis!$F$84),0))</f>
        <v>1139910.3333333333</v>
      </c>
      <c r="H19" s="95">
        <f>IF(H6="","",H13-H14-MAX(H15,0)-MAX(H16,0)-H17-MAX(H18/(1-Fin_Analysis!$F$84),0))</f>
        <v>1568270</v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-0.22705865210748041</v>
      </c>
      <c r="D20" s="57" t="str">
        <f t="shared" ref="D20:M20" si="5">IF(E19="","",IF(ABS(D19+E19)=ABS(D19)+ABS(E19),IF(D19&lt;0,-1,1)*(D19-E19)/E19,"Turn"))</f>
        <v>Turn</v>
      </c>
      <c r="E20" s="57" t="str">
        <f t="shared" si="5"/>
        <v>Turn</v>
      </c>
      <c r="F20" s="57">
        <f t="shared" si="5"/>
        <v>-0.32656954596721194</v>
      </c>
      <c r="G20" s="57">
        <f t="shared" si="5"/>
        <v>-0.27314152962606358</v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4.7505712855088637E-2</v>
      </c>
      <c r="D21" s="56">
        <f t="shared" si="6"/>
        <v>7.8640884786944962E-2</v>
      </c>
      <c r="E21" s="56">
        <f t="shared" si="6"/>
        <v>-6.7164400356693665E-3</v>
      </c>
      <c r="F21" s="56">
        <f t="shared" si="6"/>
        <v>6.4971897575252485E-2</v>
      </c>
      <c r="G21" s="56">
        <f t="shared" si="6"/>
        <v>7.6103807884280353E-2</v>
      </c>
      <c r="H21" s="56">
        <f t="shared" si="6"/>
        <v>7.4161616747551548E-2</v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728070.75</v>
      </c>
      <c r="D22" s="95">
        <f>IF(D6="","",D19*(1-Fin_Analysis!$F$84))</f>
        <v>941948.25</v>
      </c>
      <c r="E22" s="95">
        <f>IF(E6="","",E19*(1-Fin_Analysis!$F$84))</f>
        <v>-78836.25</v>
      </c>
      <c r="F22" s="95">
        <f>IF(F6="","",F19*(1-Fin_Analysis!$F$84))</f>
        <v>575737.75</v>
      </c>
      <c r="G22" s="95">
        <f>IF(G6="","",G19*(1-Fin_Analysis!$F$84))</f>
        <v>854932.75</v>
      </c>
      <c r="H22" s="95">
        <f>IF(H6="","",H19*(1-Fin_Analysis!$F$84))</f>
        <v>1176202.5</v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-0.22705865210748041</v>
      </c>
      <c r="D23" s="80" t="str">
        <f t="shared" ref="D23:M23" si="7">IF(E22="","",IF(ABS(D22+E22)=ABS(D22)+ABS(E22),IF(D22&lt;0,-1,1)*(D22-E22)/E22,"Turn"))</f>
        <v>Turn</v>
      </c>
      <c r="E23" s="80" t="str">
        <f t="shared" si="7"/>
        <v>Turn</v>
      </c>
      <c r="F23" s="80">
        <f t="shared" si="7"/>
        <v>-0.32656954596721205</v>
      </c>
      <c r="G23" s="80">
        <f t="shared" si="7"/>
        <v>-0.27314152962606353</v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9" t="s">
        <v>147</v>
      </c>
      <c r="C24" s="48">
        <f>Fin_Analysis!D9</f>
        <v>45381</v>
      </c>
      <c r="D24" s="49">
        <f>D5</f>
        <v>45016</v>
      </c>
      <c r="E24" s="49">
        <f t="shared" ref="E24" si="8">EOMONTH(EDATE(D24,-12),0)</f>
        <v>44651</v>
      </c>
      <c r="F24" s="49">
        <f t="shared" ref="F24" si="9">EOMONTH(EDATE(E24,-12),0)</f>
        <v>44286</v>
      </c>
      <c r="G24" s="49">
        <f t="shared" ref="G24" si="10">EOMONTH(EDATE(F24,-12),0)</f>
        <v>43921</v>
      </c>
      <c r="H24" s="49">
        <f t="shared" ref="H24" si="11">EOMONTH(EDATE(G24,-12),0)</f>
        <v>43555</v>
      </c>
      <c r="I24" s="49">
        <f t="shared" ref="I24" si="12">EOMONTH(EDATE(H24,-12),0)</f>
        <v>43190</v>
      </c>
      <c r="J24" s="49">
        <f t="shared" ref="J24" si="13">EOMONTH(EDATE(I24,-12),0)</f>
        <v>42825</v>
      </c>
      <c r="K24" s="49">
        <f t="shared" ref="K24" si="14">EOMONTH(EDATE(J24,-12),0)</f>
        <v>42460</v>
      </c>
      <c r="L24" s="49">
        <f t="shared" ref="L24" si="15">EOMONTH(EDATE(K24,-12),0)</f>
        <v>42094</v>
      </c>
      <c r="M24" s="49">
        <f t="shared" ref="M24" si="16">EOMONTH(EDATE(L24,-12),0)</f>
        <v>41729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14928506</v>
      </c>
      <c r="E25" s="41">
        <f t="shared" si="17"/>
        <v>16220269</v>
      </c>
      <c r="F25" s="41">
        <f t="shared" si="17"/>
        <v>14512039</v>
      </c>
      <c r="G25" s="41">
        <f t="shared" si="17"/>
        <v>0</v>
      </c>
      <c r="H25" s="41">
        <f t="shared" si="17"/>
        <v>0</v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12332308</v>
      </c>
      <c r="D26" s="92">
        <v>11972903</v>
      </c>
      <c r="E26" s="92">
        <v>13002006</v>
      </c>
      <c r="F26" s="92">
        <v>11732726</v>
      </c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265773</v>
      </c>
      <c r="D27" s="92">
        <v>213823</v>
      </c>
      <c r="E27" s="92">
        <v>187711</v>
      </c>
      <c r="F27" s="92">
        <v>277338</v>
      </c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9672256</v>
      </c>
      <c r="D28" s="92">
        <v>8852611</v>
      </c>
      <c r="E28" s="92">
        <v>8769304</v>
      </c>
      <c r="F28" s="92">
        <v>7321614</v>
      </c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3516809</v>
      </c>
      <c r="D29" s="92">
        <v>2466431</v>
      </c>
      <c r="E29" s="92">
        <v>3908586</v>
      </c>
      <c r="F29" s="92">
        <v>2946772</v>
      </c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473357</v>
      </c>
      <c r="D30" s="92">
        <v>241133</v>
      </c>
      <c r="E30" s="92">
        <v>233155</v>
      </c>
      <c r="F30" s="92">
        <v>241043</v>
      </c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649697</v>
      </c>
      <c r="D31" s="92">
        <v>35175</v>
      </c>
      <c r="E31" s="92">
        <v>1587989</v>
      </c>
      <c r="F31" s="92">
        <v>1050082</v>
      </c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319420</v>
      </c>
      <c r="D32" s="92">
        <v>67759</v>
      </c>
      <c r="E32" s="92">
        <v>153013</v>
      </c>
      <c r="F32" s="92">
        <v>81854</v>
      </c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102934</v>
      </c>
      <c r="E33" s="95">
        <f t="shared" si="18"/>
        <v>1741002</v>
      </c>
      <c r="F33" s="95">
        <f t="shared" si="18"/>
        <v>1131936</v>
      </c>
      <c r="G33" s="95">
        <f t="shared" si="18"/>
        <v>0</v>
      </c>
      <c r="H33" s="95">
        <f t="shared" si="18"/>
        <v>0</v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12863898</v>
      </c>
      <c r="D34" s="92">
        <v>12220942</v>
      </c>
      <c r="E34" s="92">
        <v>12078528</v>
      </c>
      <c r="F34" s="92">
        <v>11324224</v>
      </c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-26962</v>
      </c>
      <c r="D35" s="92">
        <v>-498</v>
      </c>
      <c r="E35" s="92">
        <v>468</v>
      </c>
      <c r="F35" s="92">
        <v>411</v>
      </c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2923945</v>
      </c>
      <c r="D36" s="92">
        <v>3475378</v>
      </c>
      <c r="E36" s="92">
        <v>4499643</v>
      </c>
      <c r="F36" s="92">
        <v>4455433</v>
      </c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11453128</v>
      </c>
      <c r="E37" s="41">
        <f t="shared" si="19"/>
        <v>11720626</v>
      </c>
      <c r="F37" s="41">
        <f t="shared" si="19"/>
        <v>10056606</v>
      </c>
      <c r="G37" s="41">
        <f t="shared" si="19"/>
        <v>0</v>
      </c>
      <c r="H37" s="41">
        <f t="shared" si="19"/>
        <v>0</v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173</v>
      </c>
      <c r="C38" s="104">
        <f>IF(C6="","",C19/C37)</f>
        <v>6.9687918674635876E-2</v>
      </c>
      <c r="D38" s="104">
        <f t="shared" ref="D38:M38" si="20">IF(D6="","",D19/D37)</f>
        <v>0.10965833962564638</v>
      </c>
      <c r="E38" s="104">
        <f t="shared" si="20"/>
        <v>-8.9683776276113583E-3</v>
      </c>
      <c r="F38" s="104">
        <f t="shared" si="20"/>
        <v>7.6332943075758691E-2</v>
      </c>
      <c r="G38" s="104" t="e">
        <f t="shared" si="20"/>
        <v>#DIV/0!</v>
      </c>
      <c r="H38" s="104" t="e">
        <f t="shared" si="20"/>
        <v>#DIV/0!</v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0.72762956087193742</v>
      </c>
      <c r="D40" s="61">
        <f t="shared" si="21"/>
        <v>0.7303022981431383</v>
      </c>
      <c r="E40" s="61">
        <f t="shared" si="21"/>
        <v>0.7244946946204498</v>
      </c>
      <c r="F40" s="61">
        <f t="shared" si="21"/>
        <v>0.70294374380383995</v>
      </c>
      <c r="G40" s="61">
        <f t="shared" si="21"/>
        <v>0.70419372087965826</v>
      </c>
      <c r="H40" s="61">
        <f t="shared" si="21"/>
        <v>0.74565961264792724</v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0.12012374818624762</v>
      </c>
      <c r="D41" s="56">
        <f t="shared" si="22"/>
        <v>0.12475734364214461</v>
      </c>
      <c r="E41" s="56">
        <f t="shared" si="22"/>
        <v>0.1546380527940365</v>
      </c>
      <c r="F41" s="56">
        <f t="shared" si="22"/>
        <v>0.19122175157580659</v>
      </c>
      <c r="G41" s="56">
        <f t="shared" si="22"/>
        <v>0.18856108069142588</v>
      </c>
      <c r="H41" s="56">
        <f t="shared" si="22"/>
        <v>0.15238149582692045</v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4.413341231043115E-2</v>
      </c>
      <c r="D42" s="56">
        <f t="shared" si="23"/>
        <v>8.9565367523571013E-3</v>
      </c>
      <c r="E42" s="56">
        <f t="shared" si="23"/>
        <v>3.8804791663312119E-2</v>
      </c>
      <c r="F42" s="56">
        <f t="shared" si="23"/>
        <v>1.5679014505150749E-2</v>
      </c>
      <c r="G42" s="56">
        <f t="shared" si="23"/>
        <v>0</v>
      </c>
      <c r="H42" s="56">
        <f t="shared" si="23"/>
        <v>0</v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4.0883763120383568E-2</v>
      </c>
      <c r="D43" s="56">
        <f t="shared" si="24"/>
        <v>2.9395857885609465E-2</v>
      </c>
      <c r="E43" s="56">
        <f t="shared" si="24"/>
        <v>8.9049969572670459E-2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3.8885650375487034E-3</v>
      </c>
      <c r="D44" s="56">
        <f t="shared" si="25"/>
        <v>1.7334505274905901E-3</v>
      </c>
      <c r="E44" s="56">
        <f t="shared" si="25"/>
        <v>1.9677447304235723E-3</v>
      </c>
      <c r="F44" s="56">
        <f t="shared" si="25"/>
        <v>3.2556042627888463E-3</v>
      </c>
      <c r="G44" s="56">
        <f t="shared" si="25"/>
        <v>5.6147664039083583E-3</v>
      </c>
      <c r="H44" s="56">
        <f t="shared" si="25"/>
        <v>2.1597113239037349E-3</v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0</v>
      </c>
      <c r="D45" s="56">
        <f>IF(D6="","",MAX(D18,0)/(1-Fin_Analysis!$F$84)/D6)</f>
        <v>0</v>
      </c>
      <c r="E45" s="56">
        <f>IF(E6="","",MAX(E18,0)/(1-Fin_Analysis!$F$84)/E6)</f>
        <v>0</v>
      </c>
      <c r="F45" s="56">
        <f>IF(F6="","",MAX(F18,0)/(1-Fin_Analysis!$F$84)/F6)</f>
        <v>2.7068908541056925E-4</v>
      </c>
      <c r="G45" s="56">
        <f>IF(G6="","",MAX(G18,0)/(1-Fin_Analysis!$F$84)/G6)</f>
        <v>1.5868817930031392E-4</v>
      </c>
      <c r="H45" s="56">
        <f>IF(H6="","",MAX(H18,0)/(1-Fin_Analysis!$F$84)/H6)</f>
        <v>9.1702453784649294E-4</v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6.3340950473451521E-2</v>
      </c>
      <c r="D46" s="56">
        <f t="shared" si="26"/>
        <v>0.10485451304925995</v>
      </c>
      <c r="E46" s="56">
        <f t="shared" si="26"/>
        <v>-8.9552533808924892E-3</v>
      </c>
      <c r="F46" s="56">
        <f t="shared" si="26"/>
        <v>8.6629196767003327E-2</v>
      </c>
      <c r="G46" s="56">
        <f t="shared" si="26"/>
        <v>0.10147174384570713</v>
      </c>
      <c r="H46" s="56">
        <f t="shared" si="26"/>
        <v>9.8882155663402055E-2</v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1.7341358408692387E-2</v>
      </c>
      <c r="D48" s="61">
        <f t="shared" si="27"/>
        <v>1.7851543232655226E-2</v>
      </c>
      <c r="E48" s="61">
        <f t="shared" si="27"/>
        <v>1.5992004636642819E-2</v>
      </c>
      <c r="F48" s="61">
        <f t="shared" si="27"/>
        <v>3.1297541510393184E-2</v>
      </c>
      <c r="G48" s="61">
        <f t="shared" si="27"/>
        <v>0</v>
      </c>
      <c r="H48" s="61">
        <f t="shared" si="27"/>
        <v>0</v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0.63110270011109249</v>
      </c>
      <c r="D49" s="56">
        <f t="shared" si="28"/>
        <v>0.73908217538982812</v>
      </c>
      <c r="E49" s="56">
        <f t="shared" si="28"/>
        <v>0.74709926550990846</v>
      </c>
      <c r="F49" s="56">
        <f t="shared" si="28"/>
        <v>0.82624277267477186</v>
      </c>
      <c r="G49" s="56">
        <f t="shared" si="28"/>
        <v>0</v>
      </c>
      <c r="H49" s="56">
        <f t="shared" si="28"/>
        <v>0</v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0.23674800333023538</v>
      </c>
      <c r="D51" s="61">
        <f t="shared" ref="D51:M51" si="29">IF(D34="","",(D25-D34)/D25)</f>
        <v>0.1813687183432823</v>
      </c>
      <c r="E51" s="61">
        <f t="shared" si="29"/>
        <v>0.2553435457821322</v>
      </c>
      <c r="F51" s="61">
        <f t="shared" si="29"/>
        <v>0.21966692619831024</v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1.0016963896000173</v>
      </c>
      <c r="D52" s="60">
        <f t="shared" si="30"/>
        <v>12.201323177958692</v>
      </c>
      <c r="E52" s="60">
        <f t="shared" si="30"/>
        <v>-6.0376151204880865E-2</v>
      </c>
      <c r="F52" s="60">
        <f t="shared" si="30"/>
        <v>0.67817467889821803</v>
      </c>
      <c r="G52" s="60" t="str">
        <f t="shared" si="30"/>
        <v>-</v>
      </c>
      <c r="H52" s="60" t="str">
        <f t="shared" si="30"/>
        <v>-</v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6.1391011793840093E-2</v>
      </c>
      <c r="D53" s="56">
        <f t="shared" si="31"/>
        <v>1.6531959160176794E-2</v>
      </c>
      <c r="E53" s="56">
        <f t="shared" si="31"/>
        <v>-0.21973077106026734</v>
      </c>
      <c r="F53" s="56">
        <f t="shared" si="31"/>
        <v>3.7580912490105083E-2</v>
      </c>
      <c r="G53" s="56">
        <f t="shared" si="31"/>
        <v>5.5333299607483753E-2</v>
      </c>
      <c r="H53" s="56">
        <f t="shared" si="31"/>
        <v>2.1841264578165751E-2</v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3.5066755118062995</v>
      </c>
      <c r="D54" s="62">
        <f t="shared" si="32"/>
        <v>4.8543433811852026</v>
      </c>
      <c r="E54" s="62">
        <f t="shared" si="32"/>
        <v>3.3265242212912804</v>
      </c>
      <c r="F54" s="62">
        <f t="shared" si="32"/>
        <v>3.9815520169188523</v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zoomScaleNormal="100" workbookViewId="0">
      <selection activeCell="C94" sqref="C94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1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15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2">
      <c r="B6" s="20" t="s">
        <v>27</v>
      </c>
      <c r="C6" s="94"/>
      <c r="D6" s="75">
        <f>E49-I49-E53</f>
        <v>3751168.5926461262</v>
      </c>
      <c r="E6" s="56">
        <f>1-D6/D3</f>
        <v>0.70839565171877716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6.3892325620346009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45381</v>
      </c>
      <c r="E9" s="144" t="str">
        <f>IF(MONTH(D9)=MONTH(Data!C3),"FY","Quarter")</f>
        <v>FY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224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4" x14ac:dyDescent="0.15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4" x14ac:dyDescent="0.15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5"/>
      <c r="J14" s="94"/>
      <c r="K14" s="27"/>
    </row>
    <row r="15" spans="1:11" ht="14" x14ac:dyDescent="0.15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4" x14ac:dyDescent="0.15">
      <c r="B16" s="1" t="s">
        <v>174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4" x14ac:dyDescent="0.15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15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15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15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15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175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4" x14ac:dyDescent="0.15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4" x14ac:dyDescent="0.15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4" x14ac:dyDescent="0.15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15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D4</f>
        <v>-26962</v>
      </c>
      <c r="D53" s="29">
        <f>IF(E53=0, 0,E53/C53)</f>
        <v>0.68642506661694713</v>
      </c>
      <c r="E53" s="95">
        <f>MAX(C53,C53*Dashboard!G23)</f>
        <v>-18507.392646126129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9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10">
        <f>I15+I34</f>
        <v>969117</v>
      </c>
      <c r="E56" s="211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4" x14ac:dyDescent="0.15">
      <c r="B62" s="35" t="s">
        <v>152</v>
      </c>
      <c r="C62" s="142">
        <f>C11+C30</f>
        <v>1998219</v>
      </c>
      <c r="D62" s="122">
        <f t="shared" si="7"/>
        <v>1</v>
      </c>
      <c r="E62" s="143">
        <f>E11+E30</f>
        <v>1998219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thickBot="1" x14ac:dyDescent="0.2">
      <c r="B64" s="146" t="s">
        <v>164</v>
      </c>
      <c r="C64" s="147"/>
      <c r="D64" s="148"/>
      <c r="E64" s="75">
        <f>D56+D57+D58</f>
        <v>969117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thickBot="1" x14ac:dyDescent="0.2">
      <c r="B69" s="146" t="s">
        <v>165</v>
      </c>
      <c r="C69" s="147"/>
      <c r="D69" s="148"/>
      <c r="E69" s="160">
        <f>I49-E64</f>
        <v>3021049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08">
        <f>Data!C5</f>
        <v>45381</v>
      </c>
      <c r="D72" s="208"/>
      <c r="H72" s="50" t="s">
        <v>8</v>
      </c>
    </row>
    <row r="73" spans="1:9" ht="15" customHeight="1" x14ac:dyDescent="0.15">
      <c r="B73" s="12" t="str">
        <f>"(Numbers in "&amp;Data!E3&amp;Dashboard!G6&amp;")"</f>
        <v>(Numbers in 1000HKD)</v>
      </c>
      <c r="C73" s="207" t="s">
        <v>103</v>
      </c>
      <c r="D73" s="207"/>
      <c r="E73" s="209" t="s">
        <v>104</v>
      </c>
      <c r="F73" s="207"/>
    </row>
    <row r="74" spans="1:9" ht="15" customHeight="1" x14ac:dyDescent="0.15">
      <c r="B74" s="3" t="s">
        <v>136</v>
      </c>
      <c r="C74" s="95">
        <f>Data!C6</f>
        <v>15325962</v>
      </c>
      <c r="D74" s="130"/>
      <c r="E74" s="149">
        <f>C74</f>
        <v>15325962</v>
      </c>
      <c r="F74" s="130"/>
    </row>
    <row r="75" spans="1:9" ht="15" customHeight="1" x14ac:dyDescent="0.15">
      <c r="B75" s="117" t="s">
        <v>109</v>
      </c>
      <c r="C75" s="95">
        <f>Data!C8</f>
        <v>11151623</v>
      </c>
      <c r="D75" s="131">
        <f>C75/$C$74</f>
        <v>0.72762956087193742</v>
      </c>
      <c r="E75" s="149">
        <f>D75*E74</f>
        <v>11151623</v>
      </c>
      <c r="F75" s="150">
        <f>E75/$E$74</f>
        <v>0.72762956087193742</v>
      </c>
    </row>
    <row r="76" spans="1:9" ht="15" customHeight="1" x14ac:dyDescent="0.15">
      <c r="B76" s="35" t="s">
        <v>96</v>
      </c>
      <c r="C76" s="118">
        <f>C74-C75</f>
        <v>4174339</v>
      </c>
      <c r="D76" s="132"/>
      <c r="E76" s="151">
        <f>E74-E75</f>
        <v>4174339</v>
      </c>
      <c r="F76" s="132"/>
    </row>
    <row r="77" spans="1:9" ht="15" customHeight="1" x14ac:dyDescent="0.15">
      <c r="B77" s="117" t="s">
        <v>133</v>
      </c>
      <c r="C77" s="95">
        <f>Data!C10-Data!C12</f>
        <v>1841012</v>
      </c>
      <c r="D77" s="131">
        <f>C77/$C$74</f>
        <v>0.12012374818624762</v>
      </c>
      <c r="E77" s="149">
        <f>D77*E74</f>
        <v>1841012</v>
      </c>
      <c r="F77" s="150">
        <f>E77/$E$74</f>
        <v>0.12012374818624762</v>
      </c>
    </row>
    <row r="78" spans="1:9" ht="15" customHeight="1" x14ac:dyDescent="0.15">
      <c r="B78" s="35" t="s">
        <v>97</v>
      </c>
      <c r="C78" s="118">
        <f>C76-C77</f>
        <v>2333327</v>
      </c>
      <c r="D78" s="132"/>
      <c r="E78" s="151">
        <f>E76-E77</f>
        <v>2333327</v>
      </c>
      <c r="F78" s="132"/>
    </row>
    <row r="79" spans="1:9" ht="15" customHeight="1" x14ac:dyDescent="0.15">
      <c r="B79" s="117" t="s">
        <v>129</v>
      </c>
      <c r="C79" s="95">
        <f>Data!C17</f>
        <v>59596</v>
      </c>
      <c r="D79" s="131">
        <f>C79/$C$74</f>
        <v>3.8885650375487034E-3</v>
      </c>
      <c r="E79" s="149">
        <f>C79</f>
        <v>59596</v>
      </c>
      <c r="F79" s="150">
        <f>E79/$E$74</f>
        <v>3.8885650375487034E-3</v>
      </c>
    </row>
    <row r="80" spans="1:9" ht="15" customHeight="1" x14ac:dyDescent="0.15">
      <c r="B80" s="28" t="s">
        <v>135</v>
      </c>
      <c r="C80" s="95">
        <f>Data!C14+MAX(Data!C15,0)</f>
        <v>676387</v>
      </c>
      <c r="D80" s="131">
        <f>C80/$C$74</f>
        <v>4.413341231043115E-2</v>
      </c>
      <c r="E80" s="149">
        <f>3%*E74</f>
        <v>459778.86</v>
      </c>
      <c r="F80" s="150">
        <f t="shared" ref="F80:F83" si="8">E80/$E$74</f>
        <v>0.03</v>
      </c>
    </row>
    <row r="81" spans="1:8" ht="15" customHeight="1" x14ac:dyDescent="0.15">
      <c r="B81" s="28" t="s">
        <v>113</v>
      </c>
      <c r="C81" s="95">
        <f>MAX(Data!C16,0)</f>
        <v>626583</v>
      </c>
      <c r="D81" s="131">
        <f>C81/$C$74</f>
        <v>4.0883763120383568E-2</v>
      </c>
      <c r="E81" s="149">
        <f>C81</f>
        <v>626583</v>
      </c>
      <c r="F81" s="150">
        <f t="shared" si="8"/>
        <v>4.0883763120383568E-2</v>
      </c>
      <c r="H81" s="125" t="s">
        <v>141</v>
      </c>
    </row>
    <row r="82" spans="1:8" ht="15" customHeight="1" x14ac:dyDescent="0.15">
      <c r="B82" s="79" t="s">
        <v>192</v>
      </c>
      <c r="C82" s="95">
        <f>MAX(Data!C18,0)</f>
        <v>0</v>
      </c>
      <c r="D82" s="131">
        <f>C82/$C$74</f>
        <v>0</v>
      </c>
      <c r="E82" s="149">
        <v>0</v>
      </c>
      <c r="F82" s="150">
        <f t="shared" si="8"/>
        <v>0</v>
      </c>
    </row>
    <row r="83" spans="1:8" ht="15" customHeight="1" thickBot="1" x14ac:dyDescent="0.2">
      <c r="B83" s="119" t="s">
        <v>134</v>
      </c>
      <c r="C83" s="100">
        <f>C78-C79-C80-C81-C82</f>
        <v>970761</v>
      </c>
      <c r="D83" s="133">
        <f>C83/$C$74</f>
        <v>6.3340950473451521E-2</v>
      </c>
      <c r="E83" s="152">
        <f>E78-E79-E80-E81-E82</f>
        <v>1187369.1400000001</v>
      </c>
      <c r="F83" s="135">
        <f t="shared" si="8"/>
        <v>7.7474362783882672E-2</v>
      </c>
    </row>
    <row r="84" spans="1:8" ht="15" customHeight="1" thickTop="1" x14ac:dyDescent="0.15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15">
      <c r="B85" s="93" t="s">
        <v>181</v>
      </c>
      <c r="C85" s="118">
        <f>C83*(1-F84)</f>
        <v>728070.75</v>
      </c>
      <c r="D85" s="135">
        <f>C85/$C$74</f>
        <v>4.7505712855088637E-2</v>
      </c>
      <c r="E85" s="154">
        <f>E83*(1-F84)</f>
        <v>890526.8550000001</v>
      </c>
      <c r="F85" s="135">
        <f>E85/$E$74</f>
        <v>5.8105772087912011E-2</v>
      </c>
    </row>
    <row r="86" spans="1:8" ht="15" customHeight="1" x14ac:dyDescent="0.15">
      <c r="B86" s="94" t="s">
        <v>176</v>
      </c>
      <c r="C86" s="161">
        <f>C85*Data!E3/Common_Shares</f>
        <v>1.2400971133327547</v>
      </c>
      <c r="D86" s="130"/>
      <c r="E86" s="163">
        <f>E85*Data!E3/Common_Shares</f>
        <v>1.5168028412496957</v>
      </c>
      <c r="F86" s="130"/>
    </row>
    <row r="87" spans="1:8" ht="15" customHeight="1" x14ac:dyDescent="0.15">
      <c r="B87" s="93" t="s">
        <v>177</v>
      </c>
      <c r="C87" s="164">
        <f>0.72+0.64</f>
        <v>1.3599999999999999</v>
      </c>
      <c r="D87" s="135">
        <f>C87/C86</f>
        <v>1.0966883039869408</v>
      </c>
      <c r="E87" s="162">
        <f>C87</f>
        <v>1.3599999999999999</v>
      </c>
      <c r="F87" s="135">
        <f>E87/E86</f>
        <v>0.8966227930318843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169</v>
      </c>
      <c r="C89" s="21"/>
      <c r="H89" s="50" t="s">
        <v>145</v>
      </c>
    </row>
    <row r="90" spans="1:8" ht="15" customHeight="1" x14ac:dyDescent="0.15">
      <c r="B90" s="10" t="s">
        <v>170</v>
      </c>
      <c r="D90" s="212" t="s">
        <v>171</v>
      </c>
      <c r="E90" s="212"/>
      <c r="G90" s="94"/>
    </row>
    <row r="91" spans="1:8" ht="15" customHeight="1" x14ac:dyDescent="0.15">
      <c r="B91" s="1" t="s">
        <v>196</v>
      </c>
      <c r="C91" s="174" t="s">
        <v>216</v>
      </c>
      <c r="D91" s="206" t="s">
        <v>172</v>
      </c>
      <c r="E91" s="206"/>
      <c r="F91" s="29">
        <f>E83/C68</f>
        <v>8.5237544632605092E-2</v>
      </c>
      <c r="H91" s="187"/>
    </row>
    <row r="92" spans="1:8" ht="15" customHeight="1" x14ac:dyDescent="0.15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9.6250000000000002E-2</v>
      </c>
      <c r="D92" s="206" t="s">
        <v>168</v>
      </c>
      <c r="E92" s="206"/>
      <c r="F92" s="137">
        <v>0.02</v>
      </c>
      <c r="H92" s="187"/>
    </row>
    <row r="94" spans="1:8" ht="15" customHeight="1" x14ac:dyDescent="0.15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15">
      <c r="B95" s="1" t="s">
        <v>140</v>
      </c>
      <c r="C95" s="102">
        <f>E85/(C92-F92)*Exchange_Rate</f>
        <v>11679040.721311476</v>
      </c>
      <c r="D95" s="155">
        <f>C95*Data!$E$3/Common_Shares</f>
        <v>19.892496278684529</v>
      </c>
    </row>
    <row r="96" spans="1:8" ht="15" customHeight="1" x14ac:dyDescent="0.15">
      <c r="B96" s="28" t="s">
        <v>157</v>
      </c>
      <c r="C96" s="102">
        <f>E82*Exchange_Rate</f>
        <v>0</v>
      </c>
      <c r="D96" s="155">
        <f>C96*Data!$E$3/Common_Shares</f>
        <v>0</v>
      </c>
      <c r="E96" s="94"/>
      <c r="F96" s="138"/>
    </row>
    <row r="97" spans="2:6" ht="15" customHeight="1" thickBot="1" x14ac:dyDescent="0.2">
      <c r="B97" s="119" t="s">
        <v>158</v>
      </c>
      <c r="C97" s="123">
        <f>(E65+MIN(0,E70))*Exchange_Rate</f>
        <v>1214247.2000000002</v>
      </c>
      <c r="D97" s="156">
        <f>C97*Data!$E$3/Common_Shares</f>
        <v>2.0681842356561919</v>
      </c>
      <c r="E97" s="157" t="s">
        <v>143</v>
      </c>
      <c r="F97" s="158" t="s">
        <v>144</v>
      </c>
    </row>
    <row r="98" spans="2:6" ht="15" customHeight="1" thickTop="1" x14ac:dyDescent="0.15">
      <c r="B98" s="1" t="s">
        <v>119</v>
      </c>
      <c r="C98" s="102">
        <f>C95-C96+$C$97</f>
        <v>12893287.921311475</v>
      </c>
      <c r="D98" s="124">
        <f>MAX(C98*Data!$E$3/Common_Shares,0)</f>
        <v>21.960680514340723</v>
      </c>
      <c r="E98" s="124">
        <f>D98*(1-25%)</f>
        <v>16.470510385755542</v>
      </c>
      <c r="F98" s="124">
        <f>D98*1.25</f>
        <v>27.450850642925904</v>
      </c>
    </row>
    <row r="100" spans="2:6" ht="15" customHeight="1" x14ac:dyDescent="0.15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15">
      <c r="B101" s="1" t="s">
        <v>178</v>
      </c>
      <c r="C101" s="102">
        <f>D101*Common_Shares/Data!E3</f>
        <v>10471694.111475408</v>
      </c>
      <c r="D101" s="155">
        <f>E87/(C92-F92)*Exchange_Rate</f>
        <v>17.83606557377049</v>
      </c>
      <c r="E101" s="124">
        <f>D101*(1-25%)</f>
        <v>13.377049180327868</v>
      </c>
      <c r="F101" s="124">
        <f>D101*1.25</f>
        <v>22.295081967213115</v>
      </c>
    </row>
    <row r="103" spans="2:6" ht="15" customHeight="1" x14ac:dyDescent="0.15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2024-10-28T14:16:25Z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