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83EB9B19-D871-184B-832B-8DCAB262B6EB}" xr6:coauthVersionLast="47" xr6:coauthVersionMax="47" xr10:uidLastSave="{00000000-0000-0000-0000-000000000000}"/>
  <bookViews>
    <workbookView xWindow="1480" yWindow="148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<sst xmlns="http://schemas.openxmlformats.org/spreadsheetml/2006/main" count="250" uniqueCount="228">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</sst>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3" sqref="C2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225</v>
      </c>
      <c r="D3" s="200"/>
      <c r="E3" s="94"/>
      <c r="F3" s="3" t="s">
        <v>1</v>
      </c>
      <c r="G3" s="171">
        <v>4.3499999046325684</v>
      </c>
      <c r="H3" s="173" t="s">
        <v>2</v>
      </c>
    </row>
    <row r="4" spans="1:10" ht="15.75" customHeight="1" x14ac:dyDescent="0.15">
      <c r="B4" s="35" t="s">
        <v>223</v>
      </c>
      <c r="C4" s="201" t="s">
        <v>224</v>
      </c>
      <c r="D4" s="202"/>
      <c r="E4" s="94"/>
      <c r="F4" s="3" t="s">
        <v>3</v>
      </c>
      <c r="G4" s="205">
        <v>1043691480</v>
      </c>
      <c r="H4" s="205"/>
      <c r="I4" s="39"/>
    </row>
    <row r="5" spans="1:10" ht="15.75" customHeight="1" x14ac:dyDescent="0.15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4540.0578384658238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15">
      <c r="B7" s="93" t="s">
        <v>220</v>
      </c>
      <c r="C7" s="190" t="s">
        <v>46</v>
      </c>
      <c r="D7" s="196" t="s">
        <v>226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0.66005868735054896</v>
      </c>
      <c r="F20" s="181" t="s">
        <v>195</v>
      </c>
      <c r="G20" s="178">
        <f>Fin_Analysis!F91</f>
        <v>0.12559069415323262</v>
      </c>
    </row>
    <row r="21" spans="1:8" ht="15.75" customHeight="1" x14ac:dyDescent="0.15">
      <c r="B21" s="177" t="s">
        <v>188</v>
      </c>
      <c r="C21" s="178">
        <f>Fin_Analysis!F77</f>
        <v>0.20403193785652382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7.0437342852983705E-5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0.04</v>
      </c>
      <c r="F23" s="181" t="s">
        <v>214</v>
      </c>
      <c r="G23" s="188">
        <f>G3/(Data!C34*Data!E3/Common_Shares*Exchange_Rate)</f>
        <v>1.2383808726780174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6.2588650685565281E-2</v>
      </c>
    </row>
    <row r="25" spans="1:8" ht="15.75" customHeight="1" x14ac:dyDescent="0.15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0.58106088709231496</v>
      </c>
    </row>
    <row r="26" spans="1:8" ht="15.75" customHeight="1" x14ac:dyDescent="0.15">
      <c r="B26" s="179" t="s">
        <v>193</v>
      </c>
      <c r="C26" s="178">
        <f>Fin_Analysis!F83</f>
        <v>9.5038937450074273E-2</v>
      </c>
      <c r="F26" s="183" t="s">
        <v>221</v>
      </c>
      <c r="G26" s="182">
        <f>Fin_Analysis!E87*Exchange_Rate/G3</f>
        <v>3.6367816889265589E-2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3.6241684504187823</v>
      </c>
      <c r="D29" s="167">
        <f>IF(Fin_Analysis!C103="Profit",Fin_Analysis!F98,Fin_Analysis!F101)</f>
        <v>6.0402807506979705</v>
      </c>
      <c r="E29" s="94"/>
      <c r="F29" s="169">
        <f>IF(Fin_Analysis!C103="Profit",Fin_Analysis!D98,Fin_Analysis!D101)</f>
        <v>4.8322246005583764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D1" activePane="topRight" state="frozen"/>
      <selection activeCell="A4" sqref="A4"/>
      <selection pane="topRight" activeCell="D34" sqref="D34:H3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1" zoomScale="125" zoomScaleNormal="100" workbookViewId="0">
      <selection activeCell="F75" activeCellId="2" sqref="F79:F83 F77 F7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15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1263294.6332545376</v>
      </c>
      <c r="E6" s="56">
        <f>1-D6/D3</f>
        <v>0.65541410130848332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1.2104100277359144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227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4" x14ac:dyDescent="0.15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4" x14ac:dyDescent="0.15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15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15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4" x14ac:dyDescent="0.15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15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45613</v>
      </c>
      <c r="D53" s="29">
        <f>IF(E53=0, 0,E53/C53)</f>
        <v>1.2383808726780174</v>
      </c>
      <c r="E53" s="95">
        <f>MAX(C53,C53*Dashboard!G23)</f>
        <v>56486.26674546241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3833194</v>
      </c>
      <c r="D74" s="130"/>
      <c r="E74" s="149">
        <f>C74</f>
        <v>3833194</v>
      </c>
      <c r="F74" s="130"/>
    </row>
    <row r="75" spans="1:9" ht="15" customHeight="1" x14ac:dyDescent="0.15">
      <c r="B75" s="117" t="s">
        <v>109</v>
      </c>
      <c r="C75" s="95">
        <f>Data!C8</f>
        <v>2530133</v>
      </c>
      <c r="D75" s="131">
        <f>C75/$C$74</f>
        <v>0.66005868735054896</v>
      </c>
      <c r="E75" s="149">
        <f>D75*E74</f>
        <v>2530133</v>
      </c>
      <c r="F75" s="150">
        <f>E75/$E$74</f>
        <v>0.66005868735054896</v>
      </c>
    </row>
    <row r="76" spans="1:9" ht="15" customHeight="1" x14ac:dyDescent="0.15">
      <c r="B76" s="35" t="s">
        <v>96</v>
      </c>
      <c r="C76" s="118">
        <f>C74-C75</f>
        <v>1303061</v>
      </c>
      <c r="D76" s="132"/>
      <c r="E76" s="151">
        <f>E74-E75</f>
        <v>1303061</v>
      </c>
      <c r="F76" s="132"/>
    </row>
    <row r="77" spans="1:9" ht="15" customHeight="1" x14ac:dyDescent="0.15">
      <c r="B77" s="117" t="s">
        <v>133</v>
      </c>
      <c r="C77" s="95">
        <f>Data!C10-Data!C12</f>
        <v>782094</v>
      </c>
      <c r="D77" s="131">
        <f>C77/$C$74</f>
        <v>0.20403193785652382</v>
      </c>
      <c r="E77" s="149">
        <f>D77*E74</f>
        <v>782094</v>
      </c>
      <c r="F77" s="150">
        <f>E77/$E$74</f>
        <v>0.20403193785652382</v>
      </c>
    </row>
    <row r="78" spans="1:9" ht="15" customHeight="1" x14ac:dyDescent="0.15">
      <c r="B78" s="35" t="s">
        <v>97</v>
      </c>
      <c r="C78" s="118">
        <f>C76-C77</f>
        <v>520967</v>
      </c>
      <c r="D78" s="132"/>
      <c r="E78" s="151">
        <f>E76-E77</f>
        <v>520967</v>
      </c>
      <c r="F78" s="132"/>
    </row>
    <row r="79" spans="1:9" ht="15" customHeight="1" x14ac:dyDescent="0.15">
      <c r="B79" s="117" t="s">
        <v>129</v>
      </c>
      <c r="C79" s="95">
        <f>Data!C17</f>
        <v>270</v>
      </c>
      <c r="D79" s="131">
        <f>C79/$C$74</f>
        <v>7.0437342852983705E-5</v>
      </c>
      <c r="E79" s="149">
        <f>C79</f>
        <v>270</v>
      </c>
      <c r="F79" s="150">
        <f>E79/$E$74</f>
        <v>7.0437342852983705E-5</v>
      </c>
    </row>
    <row r="80" spans="1:9" ht="15" customHeight="1" x14ac:dyDescent="0.15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9">
        <f>4%*E74</f>
        <v>153327.76</v>
      </c>
      <c r="F80" s="150">
        <f t="shared" ref="F80:F83" si="8">E80/$E$74</f>
        <v>0.04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2980</v>
      </c>
      <c r="D82" s="131">
        <f>C82/$C$74</f>
        <v>7.7741956185885708E-4</v>
      </c>
      <c r="E82" s="149">
        <f>E74*0.08%</f>
        <v>3066.5552000000002</v>
      </c>
      <c r="F82" s="150">
        <f t="shared" si="8"/>
        <v>8.0000000000000004E-4</v>
      </c>
    </row>
    <row r="83" spans="1:8" ht="15" customHeight="1" thickBot="1" x14ac:dyDescent="0.2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2">
        <f>E78-E79-E80-E81-E82</f>
        <v>364302.68479999999</v>
      </c>
      <c r="F83" s="135">
        <f t="shared" si="8"/>
        <v>9.5038937450074273E-2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181</v>
      </c>
      <c r="C85" s="118">
        <f>C83*(1-F84)</f>
        <v>146731.26</v>
      </c>
      <c r="D85" s="135">
        <f>C85/$C$74</f>
        <v>3.8279111362482569E-2</v>
      </c>
      <c r="E85" s="154">
        <f>E83*(1-F84)</f>
        <v>284156.09414399997</v>
      </c>
      <c r="F85" s="135">
        <f>E85/$E$74</f>
        <v>7.4130371211057922E-2</v>
      </c>
    </row>
    <row r="86" spans="1:8" ht="15" customHeight="1" x14ac:dyDescent="0.15">
      <c r="B86" s="94" t="s">
        <v>176</v>
      </c>
      <c r="C86" s="161">
        <f>C85*Data!E3/Common_Shares</f>
        <v>0.14058873030179378</v>
      </c>
      <c r="D86" s="130"/>
      <c r="E86" s="163">
        <f>E85*Data!E3/Common_Shares</f>
        <v>0.27226062451329008</v>
      </c>
      <c r="F86" s="130"/>
    </row>
    <row r="87" spans="1:8" ht="15" customHeight="1" x14ac:dyDescent="0.15">
      <c r="B87" s="93" t="s">
        <v>177</v>
      </c>
      <c r="C87" s="164">
        <v>0.15820000000000001</v>
      </c>
      <c r="D87" s="135">
        <f>C87/C86</f>
        <v>1.1252680044865697</v>
      </c>
      <c r="E87" s="162">
        <f>C87</f>
        <v>0.15820000000000001</v>
      </c>
      <c r="F87" s="135">
        <f>E87/E86</f>
        <v>0.58106088709231496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216</v>
      </c>
      <c r="D91" s="206" t="s">
        <v>172</v>
      </c>
      <c r="E91" s="206"/>
      <c r="F91" s="29">
        <f>E83/C68</f>
        <v>0.12559069415323262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3726637.3002491803</v>
      </c>
      <c r="D95" s="155">
        <f>C95*Data!$E$3/Common_Shares</f>
        <v>3.5706311411579028</v>
      </c>
    </row>
    <row r="96" spans="1:8" ht="15" customHeight="1" x14ac:dyDescent="0.15">
      <c r="B96" s="28" t="s">
        <v>157</v>
      </c>
      <c r="C96" s="102">
        <f>E82*Exchange_Rate</f>
        <v>3066.5552000000002</v>
      </c>
      <c r="D96" s="155">
        <f>C96*Data!$E$3/Common_Shares</f>
        <v>2.9381816933103642E-3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1319780.8999999999</v>
      </c>
      <c r="D97" s="156">
        <f>C97*Data!$E$3/Common_Shares</f>
        <v>1.2645316410937837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5043351.6450491808</v>
      </c>
      <c r="D98" s="124">
        <f>MAX(C98*Data!$E$3/Common_Shares,0)</f>
        <v>4.8322246005583764</v>
      </c>
      <c r="E98" s="124">
        <f>D98*(1-25%)</f>
        <v>3.6241684504187823</v>
      </c>
      <c r="F98" s="124">
        <f>D98*1.25</f>
        <v>6.0402807506979705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2165403.1755540986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