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12841486-A881-F044-91A6-AB48AD3F32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B94" i="3" l="1"/>
  <c r="E87" i="3" l="1"/>
  <c r="C92" i="3" l="1"/>
  <c r="B92" i="3"/>
  <c r="G21" i="1" l="1"/>
  <c r="D101" i="3" l="1"/>
  <c r="G26" i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96" i="3" s="1"/>
  <c r="C83" i="3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C97" i="3" s="1"/>
  <c r="D44" i="3"/>
  <c r="D45" i="3"/>
  <c r="J27" i="3"/>
  <c r="D25" i="3"/>
  <c r="D97" i="3" l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 s="1"/>
  <c r="E6" i="3"/>
  <c r="C104" i="3" l="1"/>
  <c r="F104" i="3"/>
  <c r="E104" i="3"/>
  <c r="F98" i="3"/>
  <c r="E98" i="3"/>
  <c r="C29" i="1" s="1"/>
  <c r="D29" i="1" l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<sst xmlns="http://schemas.openxmlformats.org/spreadsheetml/2006/main" count="254" uniqueCount="232">
  <si>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</si>
  <si>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</si>
  <si>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</si>
  <si>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</si>
  <si>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</si>
  <si>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</si>
  <si>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</si>
  <si>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</si>
  <si>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</si>
  <si>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</si>
  <si>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</si>
  <si>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</si>
  <si>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</si>
  <si>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</si>
  <si>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</si>
  <si>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</si>
  <si>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</si>
  <si>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</si>
  <si>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</si>
  <si>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</si>
  <si>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</si>
  <si>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</si>
  <si>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</si>
  <si>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</si>
  <si>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</si>
  <si>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</si>
  <si>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</si>
  <si>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</si>
  <si>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</si>
  <si>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</si>
  <si>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</si>
  <si>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</si>
  <si>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</si>
  <si>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</si>
  <si>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</si>
  <si>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</si>
  <si>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</si>
  <si>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</si>
  <si>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</si>
  <si>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</si>
  <si>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</si>
  <si>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</si>
  <si>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</si>
  <si>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</si>
  <si>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</si>
  <si>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</si>
  <si>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</si>
  <si>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</si>
  <si>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</si>
  <si>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</si>
  <si>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</si>
  <si>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</si>
  <si>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</si>
  <si>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</si>
  <si>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</si>
  <si>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</si>
  <si>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</si>
  <si>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</si>
  <si>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</si>
  <si>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</si>
  <si>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</si>
  <si>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</si>
  <si>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</si>
  <si>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</si>
  <si>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</si>
  <si>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</si>
  <si>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</si>
  <si>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</si>
  <si>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</si>
  <si>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</si>
  <si>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</si>
  <si>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</si>
  <si>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</si>
  <si>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</si>
  <si>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</si>
  <si>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</si>
  <si>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</si>
  <si>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</si>
  <si>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</si>
  <si>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</si>
  <si>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</si>
  <si>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</si>
  <si>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</si>
  <si>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</si>
  <si>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</si>
  <si>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</si>
  <si>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</si>
  <si>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</si>
  <si>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</si>
  <si>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</si>
  <si>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</si>
  <si>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</si>
  <si>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</si>
  <si>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</si>
  <si>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</si>
  <si>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</si>
  <si>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</si>
  <si>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</si>
  <si>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</si>
  <si>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</si>
  <si>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</si>
  <si>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</si>
  <si>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</si>
  <si>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</si>
  <si>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</si>
  <si>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</si>
  <si>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</si>
  <si>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</si>
  <si>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</si>
  <si>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</si>
  <si>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</si>
  <si>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</si>
  <si>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</si>
  <si>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</si>
  <si>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</si>
  <si>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</si>
  <si>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</si>
  <si>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</si>
  <si>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</si>
  <si>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</si>
  <si>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</si>
  <si>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</si>
  <si>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</si>
  <si>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</si>
  <si>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</si>
  <si>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</si>
  <si>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</si>
  <si>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</si>
  <si>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</si>
  <si>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</si>
  <si>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</si>
  <si>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</si>
  <si>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</si>
  <si>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</si>
  <si>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</si>
  <si>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</si>
  <si>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</si>
  <si>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</si>
  <si>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</si>
  <si>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</si>
  <si>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</si>
  <si>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</si>
  <si>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</si>
  <si>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</si>
  <si>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</si>
  <si>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</si>
  <si>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</si>
  <si>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</si>
  <si>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</si>
  <si>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</si>
  <si>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</si>
  <si>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</si>
  <si>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</si>
  <si>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</si>
  <si>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</si>
  <si>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</si>
  <si>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</si>
  <si>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</si>
  <si>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</si>
  <si>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</si>
  <si>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</si>
  <si>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</si>
  <si>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</si>
  <si>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</si>
  <si>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</si>
  <si>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</si>
  <si>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</si>
  <si>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</si>
  <si>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</si>
  <si>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</si>
  <si>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</si>
  <si>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</si>
  <si>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</si>
  <si>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</si>
  <si>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</si>
  <si>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</si>
  <si>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</si>
  <si>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</si>
  <si>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</si>
  <si>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</si>
  <si>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</si>
  <si>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</si>
  <si>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</si>
  <si>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</si>
  <si>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</si>
  <si>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</si>
  <si>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</si>
  <si>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</si>
  <si>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</si>
  <si>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</si>
  <si>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</si>
  <si>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</si>
  <si>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</si>
  <si>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</si>
  <si>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</si>
  <si>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</si>
  <si>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</si>
  <si>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</si>
  <si>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</si>
  <si>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</si>
  <si>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</si>
  <si>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</si>
  <si>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</si>
  <si>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</si>
  <si>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</si>
  <si>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</si>
  <si>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</si>
  <si>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</si>
  <si>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</si>
  <si>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</si>
  <si>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</si>
  <si>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</si>
  <si>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</si>
  <si>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</si>
  <si>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</si>
  <si>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</si>
  <si>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</si>
  <si>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</si>
  <si>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</si>
  <si>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</si>
  <si>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</si>
  <si>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</si>
  <si>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</si>
  <si>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</si>
  <si>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</si>
  <si>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</si>
  <si>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朝云集团</t>
  </si>
  <si>
    <t>6601.HK</t>
  </si>
  <si>
    <t>C0007</t>
  </si>
  <si>
    <t>CNY</t>
  </si>
  <si>
    <t>CN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</si>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</sst>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5" sqref="D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6601.HK : 朝云集团</v>
      </c>
      <c r="D2" s="94"/>
      <c r="E2" s="7"/>
      <c r="F2" s="7"/>
      <c r="G2" s="93"/>
      <c r="H2" s="93"/>
    </row>
    <row r="3" spans="1:10" ht="15.75" customHeight="1" x14ac:dyDescent="0.15">
      <c r="B3" s="3" t="s">
        <v>221</v>
      </c>
      <c r="C3" s="200" t="s">
        <v>227</v>
      </c>
      <c r="D3" s="201"/>
      <c r="E3" s="94"/>
      <c r="F3" s="3" t="s">
        <v>1</v>
      </c>
      <c r="G3" s="171">
        <v>2.0899999141693115</v>
      </c>
      <c r="H3" s="173" t="s">
        <v>2</v>
      </c>
    </row>
    <row r="4" spans="1:10" ht="15.75" customHeight="1" x14ac:dyDescent="0.25">
      <c r="B4" s="35" t="s">
        <v>222</v>
      </c>
      <c r="C4" s="202" t="s">
        <v>226</v>
      </c>
      <c r="D4" s="203"/>
      <c r="E4" s="94"/>
      <c r="F4" s="3" t="s">
        <v>3</v>
      </c>
      <c r="G4" s="206">
        <v>1333333500</v>
      </c>
      <c r="H4" s="206"/>
      <c r="I4" s="39"/>
    </row>
    <row r="5" spans="1:10" ht="15.75" customHeight="1" x14ac:dyDescent="0.15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2786.6669005590679</v>
      </c>
      <c r="H5" s="198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229</v>
      </c>
      <c r="H6" s="199"/>
      <c r="I6" s="38"/>
    </row>
    <row r="7" spans="1:10" ht="15.75" customHeight="1" x14ac:dyDescent="0.15">
      <c r="B7" s="93" t="s">
        <v>219</v>
      </c>
      <c r="C7" s="190" t="s">
        <v>46</v>
      </c>
      <c r="D7" s="196" t="s">
        <v>228</v>
      </c>
      <c r="E7" s="94"/>
      <c r="F7" s="35" t="s">
        <v>6</v>
      </c>
      <c r="G7" s="172">
        <v>1.0905426343282063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217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0.55541924442229906</v>
      </c>
      <c r="F20" s="181" t="s">
        <v>195</v>
      </c>
      <c r="G20" s="178">
        <f>Fin_Analysis!F91</f>
        <v>0.15624904823762262</v>
      </c>
    </row>
    <row r="21" spans="1:8" ht="15.75" customHeight="1" x14ac:dyDescent="0.15">
      <c r="B21" s="177" t="s">
        <v>188</v>
      </c>
      <c r="C21" s="178">
        <f>Fin_Analysis!F77</f>
        <v>0.35722663926689097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6.208277497005729E-4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2.4949477045225803E-2</v>
      </c>
      <c r="F23" s="181" t="s">
        <v>214</v>
      </c>
      <c r="G23" s="188">
        <f>G3/(Data!C34*Data!E3/Common_Shares*Exchange_Rate)</f>
        <v>0.84408872103864507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2.8651591774052427E-2</v>
      </c>
    </row>
    <row r="25" spans="1:8" ht="15.75" customHeight="1" x14ac:dyDescent="0.15">
      <c r="B25" s="177" t="s">
        <v>218</v>
      </c>
      <c r="C25" s="178">
        <f>Fin_Analysis!F82</f>
        <v>1.3611168709786237E-3</v>
      </c>
      <c r="F25" s="181" t="s">
        <v>197</v>
      </c>
      <c r="G25" s="178">
        <f>Fin_Analysis!F87</f>
        <v>2.1453241233272657</v>
      </c>
    </row>
    <row r="26" spans="1:8" ht="15.75" customHeight="1" x14ac:dyDescent="0.15">
      <c r="B26" s="179" t="s">
        <v>193</v>
      </c>
      <c r="C26" s="178">
        <f>Fin_Analysis!F83</f>
        <v>6.0422694644905017E-2</v>
      </c>
      <c r="F26" s="183" t="s">
        <v>220</v>
      </c>
      <c r="G26" s="182">
        <f>Fin_Analysis!E87*Exchange_Rate/G3</f>
        <v>6.1466951004599722E-2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IF(Fin_Analysis!C106="Profit",Fin_Analysis!E98,IF(Fin_Analysis!C106="Dividend",Fin_Analysis!E101,Fin_Analysis!E104))</f>
        <v>1.4192546027627435</v>
      </c>
      <c r="D29" s="167">
        <f>IF(Fin_Analysis!C106="Profit",Fin_Analysis!F98,IF(Fin_Analysis!C106="Dividend",Fin_Analysis!F101,Fin_Analysis!F104))</f>
        <v>2.3654243379379061</v>
      </c>
      <c r="E29" s="94"/>
      <c r="F29" s="169">
        <f>IF(Fin_Analysis!C106="Profit",Fin_Analysis!D98,IF(Fin_Analysis!C106="Dividend",Fin_Analysis!D101,Fin_Analysis!D104))</f>
        <v>1.8923394703503247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1615585</v>
      </c>
      <c r="D6" s="58">
        <v>1446638</v>
      </c>
      <c r="E6" s="58">
        <v>1769157</v>
      </c>
      <c r="F6" s="58">
        <v>1702154</v>
      </c>
      <c r="G6" s="58">
        <v>1383402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0.11678595474472542</v>
      </c>
      <c r="D7" s="103">
        <f t="shared" si="1"/>
        <v>-0.18230094898304672</v>
      </c>
      <c r="E7" s="103">
        <f t="shared" si="1"/>
        <v>3.9363653347464389E-2</v>
      </c>
      <c r="F7" s="103">
        <f t="shared" si="1"/>
        <v>0.2304116952266948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897327</v>
      </c>
      <c r="D8" s="92">
        <v>845264</v>
      </c>
      <c r="E8" s="92">
        <v>981731</v>
      </c>
      <c r="F8" s="92">
        <v>959572</v>
      </c>
      <c r="G8" s="92">
        <v>783542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718258</v>
      </c>
      <c r="D9" s="101">
        <f t="shared" si="2"/>
        <v>601374</v>
      </c>
      <c r="E9" s="101">
        <f t="shared" si="2"/>
        <v>787426</v>
      </c>
      <c r="F9" s="101">
        <f t="shared" si="2"/>
        <v>742582</v>
      </c>
      <c r="G9" s="101">
        <f t="shared" si="2"/>
        <v>599860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613104</v>
      </c>
      <c r="D10" s="92">
        <v>599182</v>
      </c>
      <c r="E10" s="92">
        <v>705390</v>
      </c>
      <c r="F10" s="92">
        <v>456610</v>
      </c>
      <c r="G10" s="92">
        <v>396643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2.2266856897037297E-2</v>
      </c>
      <c r="D11" s="97">
        <f t="shared" si="3"/>
        <v>2.2193527337177648E-2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141128</v>
      </c>
      <c r="D13" s="101">
        <f t="shared" ref="D13:M13" si="4">IF(D6="","",(D9-D10+D12))</f>
        <v>34298</v>
      </c>
      <c r="E13" s="101">
        <f t="shared" si="4"/>
        <v>82036</v>
      </c>
      <c r="F13" s="101">
        <f t="shared" si="4"/>
        <v>285972</v>
      </c>
      <c r="G13" s="101">
        <f t="shared" si="4"/>
        <v>203217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1003</v>
      </c>
      <c r="D17" s="92">
        <v>863</v>
      </c>
      <c r="E17" s="92">
        <v>1613</v>
      </c>
      <c r="F17" s="92">
        <v>2645</v>
      </c>
      <c r="G17" s="92">
        <v>299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121881</v>
      </c>
      <c r="D19" s="95">
        <f>IF(D6="","",D13-D14-MAX(D15,0)-MAX(D16,0)-D17-MAX(D18/(1-Fin_Analysis!$F$84),0))</f>
        <v>20975</v>
      </c>
      <c r="E19" s="95">
        <f>IF(E6="","",E13-E14-MAX(E15,0)-MAX(E16,0)-E17-MAX(E18/(1-Fin_Analysis!$F$84),0))</f>
        <v>80423</v>
      </c>
      <c r="F19" s="95">
        <f>IF(F6="","",F13-F14-MAX(F15,0)-MAX(F16,0)-F17-MAX(F18/(1-Fin_Analysis!$F$84),0))</f>
        <v>283327</v>
      </c>
      <c r="G19" s="95">
        <f>IF(G6="","",G13-G14-MAX(G15,0)-MAX(G16,0)-G17-MAX(G18/(1-Fin_Analysis!$F$84),0))</f>
        <v>202918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4.8107747318235994</v>
      </c>
      <c r="D20" s="57">
        <f t="shared" ref="D20:M20" si="5">IF(E19="","",IF(ABS(D19+E19)=ABS(D19)+ABS(E19),IF(D19&lt;0,-1,1)*(D19-E19)/E19,"Turn"))</f>
        <v>-0.73919152481255357</v>
      </c>
      <c r="E20" s="57">
        <f t="shared" si="5"/>
        <v>-0.71614777271491947</v>
      </c>
      <c r="F20" s="57">
        <f t="shared" si="5"/>
        <v>0.3962635153116037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5.6580588455574912E-2</v>
      </c>
      <c r="D21" s="56">
        <f t="shared" si="6"/>
        <v>1.0874351427240263E-2</v>
      </c>
      <c r="E21" s="56">
        <f t="shared" si="6"/>
        <v>3.4093780258055109E-2</v>
      </c>
      <c r="F21" s="56">
        <f t="shared" si="6"/>
        <v>0.12483902749104958</v>
      </c>
      <c r="G21" s="56">
        <f t="shared" si="6"/>
        <v>0.11001032237917828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91410.75</v>
      </c>
      <c r="D22" s="95">
        <f>IF(D6="","",D19*(1-Fin_Analysis!$F$84))</f>
        <v>15731.25</v>
      </c>
      <c r="E22" s="95">
        <f>IF(E6="","",E19*(1-Fin_Analysis!$F$84))</f>
        <v>60317.25</v>
      </c>
      <c r="F22" s="95">
        <f>IF(F6="","",F19*(1-Fin_Analysis!$F$84))</f>
        <v>212495.25</v>
      </c>
      <c r="G22" s="95">
        <f>IF(G6="","",G19*(1-Fin_Analysis!$F$84))</f>
        <v>152188.5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4.8107747318235994</v>
      </c>
      <c r="D23" s="80">
        <f t="shared" ref="D23:M23" si="7">IF(E22="","",IF(ABS(D22+E22)=ABS(D22)+ABS(E22),IF(D22&lt;0,-1,1)*(D22-E22)/E22,"Turn"))</f>
        <v>-0.73919152481255357</v>
      </c>
      <c r="E23" s="80">
        <f t="shared" si="7"/>
        <v>-0.71614777271491947</v>
      </c>
      <c r="F23" s="80">
        <f t="shared" si="7"/>
        <v>0.3962635153116037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3670169</v>
      </c>
      <c r="D25" s="41">
        <f t="shared" si="17"/>
        <v>3578159</v>
      </c>
      <c r="E25" s="41">
        <f t="shared" si="17"/>
        <v>3474535</v>
      </c>
      <c r="F25" s="41">
        <f t="shared" si="17"/>
        <v>1654558</v>
      </c>
      <c r="G25" s="41">
        <f t="shared" si="17"/>
        <v>1242193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2983374</v>
      </c>
      <c r="D26" s="92">
        <v>3160304</v>
      </c>
      <c r="E26" s="92">
        <v>3103683</v>
      </c>
      <c r="F26" s="92">
        <v>1398268</v>
      </c>
      <c r="G26" s="92">
        <v>1034632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180994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158110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611931</v>
      </c>
      <c r="D29" s="92">
        <v>734909</v>
      </c>
      <c r="E29" s="92">
        <v>677999</v>
      </c>
      <c r="F29" s="92">
        <v>1352795</v>
      </c>
      <c r="G29" s="92">
        <v>1205068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30946</v>
      </c>
      <c r="D30" s="92">
        <v>18682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13416</v>
      </c>
      <c r="D31" s="92">
        <v>6202</v>
      </c>
      <c r="E31" s="92">
        <v>5517</v>
      </c>
      <c r="F31" s="92">
        <v>301783</v>
      </c>
      <c r="G31" s="92">
        <v>3225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20583</v>
      </c>
      <c r="D32" s="92">
        <v>10412</v>
      </c>
      <c r="E32" s="92">
        <v>9392</v>
      </c>
      <c r="F32" s="92">
        <v>5096</v>
      </c>
      <c r="G32" s="92">
        <v>6880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33999</v>
      </c>
      <c r="D33" s="95">
        <f t="shared" si="18"/>
        <v>16614</v>
      </c>
      <c r="E33" s="95">
        <f t="shared" si="18"/>
        <v>14909</v>
      </c>
      <c r="F33" s="95">
        <f t="shared" si="18"/>
        <v>306879</v>
      </c>
      <c r="G33" s="95">
        <f t="shared" si="18"/>
        <v>10105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3027292</v>
      </c>
      <c r="D34" s="92">
        <v>2824568</v>
      </c>
      <c r="E34" s="92">
        <v>2735259</v>
      </c>
      <c r="F34" s="92">
        <v>250534</v>
      </c>
      <c r="G34" s="92">
        <v>13930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3990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3045410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624759</v>
      </c>
      <c r="D37" s="41">
        <f t="shared" ref="D37:M37" si="19">IF(D6="","",D25-D36)</f>
        <v>709518</v>
      </c>
      <c r="E37" s="41">
        <f t="shared" si="19"/>
        <v>3474535</v>
      </c>
      <c r="F37" s="41">
        <f t="shared" si="19"/>
        <v>1654558</v>
      </c>
      <c r="G37" s="41">
        <f t="shared" si="19"/>
        <v>1242193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0.19508482470840757</v>
      </c>
      <c r="D38" s="104">
        <f t="shared" ref="D38:M38" si="20">IF(D6="","",D19/D37)</f>
        <v>2.9562322590829266E-2</v>
      </c>
      <c r="E38" s="104">
        <f t="shared" si="20"/>
        <v>2.3146406641464255E-2</v>
      </c>
      <c r="F38" s="104">
        <f t="shared" si="20"/>
        <v>0.17124029499116986</v>
      </c>
      <c r="G38" s="104">
        <f t="shared" si="20"/>
        <v>0.16335464778822614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0.55541924442229906</v>
      </c>
      <c r="D40" s="61">
        <f t="shared" si="21"/>
        <v>0.5842954491724951</v>
      </c>
      <c r="E40" s="61">
        <f t="shared" si="21"/>
        <v>0.55491457230760188</v>
      </c>
      <c r="F40" s="61">
        <f t="shared" si="21"/>
        <v>0.56373982612619067</v>
      </c>
      <c r="G40" s="61">
        <f t="shared" si="21"/>
        <v>0.56638778894348862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0.35722663926689097</v>
      </c>
      <c r="D41" s="56">
        <f t="shared" si="22"/>
        <v>0.39199578609161378</v>
      </c>
      <c r="E41" s="56">
        <f t="shared" si="22"/>
        <v>0.39871532034748752</v>
      </c>
      <c r="F41" s="56">
        <f t="shared" si="22"/>
        <v>0.2682542237658872</v>
      </c>
      <c r="G41" s="56">
        <f t="shared" si="22"/>
        <v>0.28671564736786559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9.4776814590380575E-3</v>
      </c>
      <c r="D42" s="56">
        <f t="shared" si="23"/>
        <v>8.0185920734834829E-3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6.208277497005729E-4</v>
      </c>
      <c r="D44" s="56">
        <f t="shared" si="25"/>
        <v>5.9655559994967644E-4</v>
      </c>
      <c r="E44" s="56">
        <f t="shared" si="25"/>
        <v>9.1173366750378854E-4</v>
      </c>
      <c r="F44" s="56">
        <f t="shared" si="25"/>
        <v>1.5539134531893119E-3</v>
      </c>
      <c r="G44" s="56">
        <f t="shared" si="25"/>
        <v>2.1613384974143452E-4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1.8148224946381651E-3</v>
      </c>
      <c r="D45" s="56">
        <f>IF(D6="","",MAX(D18,0)/(1-Fin_Analysis!$F$84)/D6)</f>
        <v>5.9448182613756862E-4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7.5440784607433226E-2</v>
      </c>
      <c r="D46" s="56">
        <f t="shared" si="26"/>
        <v>1.449913523632035E-2</v>
      </c>
      <c r="E46" s="56">
        <f t="shared" si="26"/>
        <v>4.5458373677406808E-2</v>
      </c>
      <c r="F46" s="56">
        <f t="shared" si="26"/>
        <v>0.16645203665473277</v>
      </c>
      <c r="G46" s="56">
        <f t="shared" si="26"/>
        <v>0.14668042983890439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0.11203000770618693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9.7865479067953717E-2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0.1751627786077426</v>
      </c>
      <c r="D51" s="61">
        <f t="shared" ref="D51:M51" si="29">IF(D34="","",(D25-D34)/D25)</f>
        <v>0.21060858391144721</v>
      </c>
      <c r="E51" s="61">
        <f t="shared" si="29"/>
        <v>0.21276976631405353</v>
      </c>
      <c r="F51" s="61">
        <f t="shared" si="29"/>
        <v>0.84857949978181479</v>
      </c>
      <c r="G51" s="61">
        <f t="shared" si="29"/>
        <v>0.98878596160178012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3.5848407306097236</v>
      </c>
      <c r="D52" s="60">
        <f t="shared" si="30"/>
        <v>1.2624894667148188</v>
      </c>
      <c r="E52" s="60">
        <f t="shared" si="30"/>
        <v>5.3942585015762292</v>
      </c>
      <c r="F52" s="60">
        <f t="shared" si="30"/>
        <v>0.92325313885928983</v>
      </c>
      <c r="G52" s="60">
        <f t="shared" si="30"/>
        <v>20.080950024740229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8.2293384530812835E-3</v>
      </c>
      <c r="D53" s="56">
        <f t="shared" si="31"/>
        <v>4.1144219308700831E-2</v>
      </c>
      <c r="E53" s="56">
        <f t="shared" si="31"/>
        <v>2.0056451512626985E-2</v>
      </c>
      <c r="F53" s="56">
        <f t="shared" si="31"/>
        <v>9.3355027935918562E-3</v>
      </c>
      <c r="G53" s="56">
        <f t="shared" si="31"/>
        <v>1.4735016114883846E-3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4.8753437887604978</v>
      </c>
      <c r="D54" s="62">
        <f t="shared" si="32"/>
        <v>4.3002657471877468</v>
      </c>
      <c r="E54" s="62">
        <f t="shared" si="32"/>
        <v>4.5777102916081001</v>
      </c>
      <c r="F54" s="62">
        <f t="shared" si="32"/>
        <v>1.0336141100462377</v>
      </c>
      <c r="G54" s="62">
        <f t="shared" si="32"/>
        <v>0.85856731736300362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F105" sqref="F10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3027292</v>
      </c>
      <c r="E3" s="73" t="str">
        <f>IF((C49-I49)=D3,"", "Error!")</f>
        <v/>
      </c>
      <c r="F3" s="94"/>
      <c r="G3" s="94"/>
      <c r="H3" s="47" t="s">
        <v>24</v>
      </c>
      <c r="I3" s="59">
        <v>3023302</v>
      </c>
      <c r="K3" s="24"/>
    </row>
    <row r="4" spans="1:11" ht="15" customHeight="1" x14ac:dyDescent="0.15">
      <c r="B4" s="3" t="s">
        <v>25</v>
      </c>
      <c r="C4" s="94"/>
      <c r="D4" s="69">
        <f>D3-I3</f>
        <v>3990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4.8753437887604978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2135967.15</v>
      </c>
      <c r="E6" s="56">
        <f>1-D6/D3</f>
        <v>0.29442975768442559</v>
      </c>
      <c r="F6" s="94"/>
      <c r="G6" s="94"/>
      <c r="H6" s="1" t="s">
        <v>30</v>
      </c>
      <c r="I6" s="67">
        <f>(C24+C25)/I28</f>
        <v>4.6073037646401307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1.7470222135718567</v>
      </c>
      <c r="E7" s="11" t="str">
        <f>Dashboard!H3</f>
        <v>HKD</v>
      </c>
      <c r="H7" s="1" t="s">
        <v>31</v>
      </c>
      <c r="I7" s="67">
        <f>C24/I28</f>
        <v>4.1937751151682132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2385307</v>
      </c>
      <c r="D11" s="64">
        <v>1</v>
      </c>
      <c r="E11" s="95">
        <f t="shared" ref="E11:E21" si="0">C11*D11</f>
        <v>2385307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180994</v>
      </c>
      <c r="D13" s="64">
        <v>0.8</v>
      </c>
      <c r="E13" s="95">
        <f t="shared" si="0"/>
        <v>144795.20000000001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0</v>
      </c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253051</v>
      </c>
      <c r="D15" s="64">
        <v>0.05</v>
      </c>
      <c r="E15" s="95">
        <f>C15*D15</f>
        <v>12652.550000000001</v>
      </c>
      <c r="F15" s="127"/>
      <c r="G15" s="94"/>
      <c r="H15" s="1" t="s">
        <v>54</v>
      </c>
      <c r="I15" s="91">
        <f>SUM(I11:I14)</f>
        <v>13416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158110</v>
      </c>
      <c r="D18" s="64">
        <v>0.5</v>
      </c>
      <c r="E18" s="95">
        <f t="shared" si="0"/>
        <v>79055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5912</v>
      </c>
      <c r="D21" s="64">
        <v>0.95</v>
      </c>
      <c r="E21" s="95">
        <f t="shared" si="0"/>
        <v>5616.4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598515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2566301</v>
      </c>
      <c r="D24" s="66">
        <f>IF(E24=0,0,E24/C24)</f>
        <v>0.98589456186160551</v>
      </c>
      <c r="E24" s="95">
        <f>SUM(E11:E14)</f>
        <v>2530102.2000000002</v>
      </c>
      <c r="F24" s="129">
        <f>E24/$E$28</f>
        <v>0.96295844509273854</v>
      </c>
      <c r="G24" s="94"/>
    </row>
    <row r="25" spans="2:10" ht="15" customHeight="1" x14ac:dyDescent="0.15">
      <c r="B25" s="23" t="s">
        <v>55</v>
      </c>
      <c r="C25" s="65">
        <f>SUM(C15:C17)</f>
        <v>253051</v>
      </c>
      <c r="D25" s="66">
        <f>IF(E25=0,0,E25/C25)</f>
        <v>0.05</v>
      </c>
      <c r="E25" s="95">
        <f>SUM(E15:E17)</f>
        <v>12652.550000000001</v>
      </c>
      <c r="F25" s="129">
        <f t="shared" ref="F25:F27" si="2">E25/$E$28</f>
        <v>4.8155682701110369E-3</v>
      </c>
      <c r="G25" s="94"/>
      <c r="H25" s="23" t="s">
        <v>56</v>
      </c>
      <c r="I25" s="67">
        <f>E28/I28</f>
        <v>4.2936640732370153</v>
      </c>
    </row>
    <row r="26" spans="2:10" ht="15" customHeight="1" x14ac:dyDescent="0.15">
      <c r="B26" s="23" t="s">
        <v>57</v>
      </c>
      <c r="C26" s="65">
        <f>C18+C19+C20</f>
        <v>158110</v>
      </c>
      <c r="D26" s="66">
        <f t="shared" ref="D26:D27" si="3">IF(E26=0,0,E26/C26)</f>
        <v>0.5</v>
      </c>
      <c r="E26" s="95">
        <f>E18+E19+E20</f>
        <v>79055</v>
      </c>
      <c r="F26" s="129">
        <f t="shared" si="2"/>
        <v>3.0088381361356248E-2</v>
      </c>
      <c r="G26" s="94"/>
      <c r="H26" s="23" t="s">
        <v>58</v>
      </c>
      <c r="I26" s="67">
        <f>E24/($I$28-I22)</f>
        <v>188.58841681574242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5912</v>
      </c>
      <c r="D27" s="66">
        <f t="shared" si="3"/>
        <v>0.95</v>
      </c>
      <c r="E27" s="95">
        <f>E21+E22</f>
        <v>5616.4</v>
      </c>
      <c r="F27" s="129">
        <f t="shared" si="2"/>
        <v>2.1376052757943356E-3</v>
      </c>
      <c r="G27" s="94"/>
      <c r="H27" s="23" t="s">
        <v>60</v>
      </c>
      <c r="I27" s="67">
        <f>(E25+E24)/$I$28</f>
        <v>4.1552965121884657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2983374</v>
      </c>
      <c r="D28" s="61">
        <f t="shared" ref="D28" si="4">E28/C28</f>
        <v>0.880689497863828</v>
      </c>
      <c r="E28" s="76">
        <f>SUM(E24:E27)</f>
        <v>2627426.15</v>
      </c>
      <c r="F28" s="127"/>
      <c r="G28" s="94"/>
      <c r="H28" s="85" t="s">
        <v>16</v>
      </c>
      <c r="I28" s="72">
        <v>611931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279425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126127</v>
      </c>
      <c r="D31" s="64">
        <v>0.5</v>
      </c>
      <c r="E31" s="95">
        <f t="shared" ref="E31:E42" si="5">C31*D31</f>
        <v>63063.5</v>
      </c>
      <c r="F31" s="127"/>
      <c r="G31" s="94"/>
      <c r="H31" s="3" t="s">
        <v>64</v>
      </c>
      <c r="I31" s="63">
        <v>20583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20583</v>
      </c>
      <c r="J34" s="94"/>
    </row>
    <row r="35" spans="2:10" ht="14" x14ac:dyDescent="0.15">
      <c r="B35" s="3" t="s">
        <v>70</v>
      </c>
      <c r="C35" s="63">
        <v>1500</v>
      </c>
      <c r="D35" s="64">
        <v>0.1</v>
      </c>
      <c r="E35" s="95">
        <f t="shared" si="5"/>
        <v>150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193915</v>
      </c>
      <c r="D38" s="64">
        <v>0.1</v>
      </c>
      <c r="E38" s="95">
        <f>C38*D38</f>
        <v>19391.5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9704</v>
      </c>
      <c r="D40" s="64">
        <v>0.05</v>
      </c>
      <c r="E40" s="95">
        <f t="shared" si="5"/>
        <v>485.20000000000005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76124</v>
      </c>
      <c r="D41" s="64">
        <v>0.95</v>
      </c>
      <c r="E41" s="95">
        <f t="shared" si="5"/>
        <v>72317.8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10363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405552</v>
      </c>
      <c r="D44" s="66">
        <f>IF(E44=0,0,E44/C44)</f>
        <v>0.15550040438710697</v>
      </c>
      <c r="E44" s="95">
        <f>SUM(E30:E31)</f>
        <v>63063.5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1500</v>
      </c>
      <c r="D45" s="66">
        <f>IF(E45=0,0,E45/C45)</f>
        <v>0.1</v>
      </c>
      <c r="E45" s="95">
        <f>SUM(E32:E35)</f>
        <v>150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193915</v>
      </c>
      <c r="D46" s="66">
        <f t="shared" ref="D46:D47" si="6">IF(E46=0,0,E46/C46)</f>
        <v>0.1</v>
      </c>
      <c r="E46" s="95">
        <f>E36+E37+E38+E39</f>
        <v>19391.5</v>
      </c>
      <c r="F46" s="94"/>
      <c r="G46" s="94"/>
      <c r="H46" s="23" t="s">
        <v>81</v>
      </c>
      <c r="I46" s="67">
        <f>(E44+E24)/E64</f>
        <v>76.27182270066767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85828</v>
      </c>
      <c r="D47" s="66">
        <f t="shared" si="6"/>
        <v>0.84824299762315325</v>
      </c>
      <c r="E47" s="95">
        <f>E40+E41+E42</f>
        <v>72803</v>
      </c>
      <c r="F47" s="94"/>
      <c r="G47" s="94"/>
      <c r="H47" s="23" t="s">
        <v>83</v>
      </c>
      <c r="I47" s="67">
        <f>(E44+E45+E24+E25)/$I$49</f>
        <v>4.0536031775907366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686795</v>
      </c>
      <c r="D48" s="89">
        <f>E48/C48</f>
        <v>0.22628003989545642</v>
      </c>
      <c r="E48" s="83">
        <f>SUM(E30:E42)</f>
        <v>155408</v>
      </c>
      <c r="F48" s="94"/>
      <c r="G48" s="94"/>
      <c r="H48" s="87" t="s">
        <v>85</v>
      </c>
      <c r="I48" s="90">
        <v>30946</v>
      </c>
      <c r="J48" s="8"/>
    </row>
    <row r="49" spans="2:10" ht="15" customHeight="1" thickTop="1" x14ac:dyDescent="0.15">
      <c r="B49" s="3" t="s">
        <v>14</v>
      </c>
      <c r="C49" s="65">
        <f>C28+C48</f>
        <v>3670169</v>
      </c>
      <c r="D49" s="56">
        <f>E49/C49</f>
        <v>0.75823052017495651</v>
      </c>
      <c r="E49" s="95">
        <f>E28+E48</f>
        <v>2782834.15</v>
      </c>
      <c r="F49" s="94"/>
      <c r="G49" s="94"/>
      <c r="H49" s="3" t="s">
        <v>86</v>
      </c>
      <c r="I49" s="52">
        <f>I28+I48</f>
        <v>642877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3990</v>
      </c>
      <c r="D53" s="29">
        <f>IF(E53=0, 0,E53/C53)</f>
        <v>1</v>
      </c>
      <c r="E53" s="95">
        <f>MAX(C53,C53*Dashboard!G23)</f>
        <v>3990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1">
        <f>I15+I34</f>
        <v>33999</v>
      </c>
      <c r="E56" s="212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380678</v>
      </c>
      <c r="D61" s="56">
        <f t="shared" ref="D61:D70" si="7">IF(E61=0,0,E61/C61)</f>
        <v>0.19929192125628484</v>
      </c>
      <c r="E61" s="52">
        <f>E14+E15+(E19*G19)+(E20*G20)+E31+E32+(E35*G35)+(E36*G36)+(E37*G37)</f>
        <v>75866.05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2664732</v>
      </c>
      <c r="D62" s="122">
        <f t="shared" si="7"/>
        <v>0.89513954874261281</v>
      </c>
      <c r="E62" s="143">
        <f>E11+E30</f>
        <v>2385307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3045410</v>
      </c>
      <c r="D63" s="29">
        <f t="shared" si="7"/>
        <v>0.80815819544823186</v>
      </c>
      <c r="E63" s="65">
        <f>E61+E62</f>
        <v>2461173.0499999998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33999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3011411</v>
      </c>
      <c r="D65" s="29">
        <f t="shared" si="7"/>
        <v>0.80599229065710387</v>
      </c>
      <c r="E65" s="65">
        <f>E63-E64</f>
        <v>2427174.0499999998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624759</v>
      </c>
      <c r="D68" s="29">
        <f t="shared" si="7"/>
        <v>0.51485628858487853</v>
      </c>
      <c r="E68" s="74">
        <f>E49-E63</f>
        <v>321661.10000000009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608878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15881</v>
      </c>
      <c r="D70" s="29">
        <f t="shared" si="7"/>
        <v>-18.085567659467284</v>
      </c>
      <c r="E70" s="74">
        <f>E68-E69</f>
        <v>-287216.89999999991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15">
      <c r="B74" s="3" t="s">
        <v>136</v>
      </c>
      <c r="C74" s="95">
        <f>Data!C6</f>
        <v>1615585</v>
      </c>
      <c r="D74" s="130"/>
      <c r="E74" s="149">
        <f>C74</f>
        <v>1615585</v>
      </c>
      <c r="F74" s="130"/>
    </row>
    <row r="75" spans="1:9" ht="15" customHeight="1" x14ac:dyDescent="0.15">
      <c r="B75" s="117" t="s">
        <v>109</v>
      </c>
      <c r="C75" s="95">
        <f>Data!C8</f>
        <v>897327</v>
      </c>
      <c r="D75" s="131">
        <f>C75/$C$74</f>
        <v>0.55541924442229906</v>
      </c>
      <c r="E75" s="149">
        <f>D75*E74</f>
        <v>897327</v>
      </c>
      <c r="F75" s="150">
        <f>E75/$E$74</f>
        <v>0.55541924442229906</v>
      </c>
    </row>
    <row r="76" spans="1:9" ht="15" customHeight="1" x14ac:dyDescent="0.15">
      <c r="B76" s="35" t="s">
        <v>96</v>
      </c>
      <c r="C76" s="118">
        <f>C74-C75</f>
        <v>718258</v>
      </c>
      <c r="D76" s="132"/>
      <c r="E76" s="151">
        <f>E74-E75</f>
        <v>718258</v>
      </c>
      <c r="F76" s="132"/>
    </row>
    <row r="77" spans="1:9" ht="15" customHeight="1" x14ac:dyDescent="0.15">
      <c r="B77" s="117" t="s">
        <v>133</v>
      </c>
      <c r="C77" s="95">
        <f>Data!C10-Data!C12</f>
        <v>577130</v>
      </c>
      <c r="D77" s="131">
        <f>C77/$C$74</f>
        <v>0.35722663926689097</v>
      </c>
      <c r="E77" s="149">
        <f>D77*E74</f>
        <v>577130</v>
      </c>
      <c r="F77" s="150">
        <f>E77/$E$74</f>
        <v>0.35722663926689097</v>
      </c>
    </row>
    <row r="78" spans="1:9" ht="15" customHeight="1" x14ac:dyDescent="0.15">
      <c r="B78" s="35" t="s">
        <v>97</v>
      </c>
      <c r="C78" s="118">
        <f>C76-C77</f>
        <v>141128</v>
      </c>
      <c r="D78" s="132"/>
      <c r="E78" s="151">
        <f>E76-E77</f>
        <v>141128</v>
      </c>
      <c r="F78" s="132"/>
    </row>
    <row r="79" spans="1:9" ht="15" customHeight="1" x14ac:dyDescent="0.15">
      <c r="B79" s="117" t="s">
        <v>129</v>
      </c>
      <c r="C79" s="95">
        <f>Data!C17</f>
        <v>1003</v>
      </c>
      <c r="D79" s="131">
        <f>C79/$C$74</f>
        <v>6.208277497005729E-4</v>
      </c>
      <c r="E79" s="149">
        <f>C79</f>
        <v>1003</v>
      </c>
      <c r="F79" s="150">
        <f>E79/$E$74</f>
        <v>6.208277497005729E-4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9.4776814590380575E-3</v>
      </c>
      <c r="E80" s="149">
        <f>Data!C12*(Data!C12/Data!D12)</f>
        <v>40308.00087211113</v>
      </c>
      <c r="F80" s="150">
        <f t="shared" ref="F80:F83" si="8">E80/$E$74</f>
        <v>2.4949477045225803E-2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2199</v>
      </c>
      <c r="D82" s="131">
        <f>C82/$C$74</f>
        <v>1.3611168709786237E-3</v>
      </c>
      <c r="E82" s="149">
        <f>D82*E74</f>
        <v>2199</v>
      </c>
      <c r="F82" s="150">
        <f t="shared" si="8"/>
        <v>1.3611168709786237E-3</v>
      </c>
    </row>
    <row r="83" spans="1:8" ht="15" customHeight="1" thickBot="1" x14ac:dyDescent="0.2">
      <c r="B83" s="119" t="s">
        <v>134</v>
      </c>
      <c r="C83" s="100">
        <f>C78-C79-C80-C81-C82</f>
        <v>122614</v>
      </c>
      <c r="D83" s="133">
        <f>C83/$C$74</f>
        <v>7.5894490231092765E-2</v>
      </c>
      <c r="E83" s="152">
        <f>E78-E79-E80-E81-E82</f>
        <v>97617.999127888877</v>
      </c>
      <c r="F83" s="135">
        <f t="shared" si="8"/>
        <v>6.0422694644905017E-2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91960.5</v>
      </c>
      <c r="D85" s="135">
        <f>C85/$C$74</f>
        <v>5.6920867673319574E-2</v>
      </c>
      <c r="E85" s="154">
        <f>E83*(1-F84)</f>
        <v>73213.499345916658</v>
      </c>
      <c r="F85" s="135">
        <f>E85/$E$74</f>
        <v>4.5317020983678763E-2</v>
      </c>
    </row>
    <row r="86" spans="1:8" ht="15" customHeight="1" x14ac:dyDescent="0.15">
      <c r="B86" s="94" t="s">
        <v>176</v>
      </c>
      <c r="C86" s="161">
        <f>C85*Data!E3/Common_Shares</f>
        <v>6.8970366378704198E-2</v>
      </c>
      <c r="D86" s="130"/>
      <c r="E86" s="163">
        <f>E85*Data!E3/Common_Shares</f>
        <v>5.4910117645672787E-2</v>
      </c>
      <c r="F86" s="130"/>
    </row>
    <row r="87" spans="1:8" ht="15" customHeight="1" x14ac:dyDescent="0.15">
      <c r="B87" s="93" t="s">
        <v>177</v>
      </c>
      <c r="C87" s="164">
        <f>0.0538+0.064</f>
        <v>0.1178</v>
      </c>
      <c r="D87" s="135">
        <f>C87/C86</f>
        <v>1.7079799076777531</v>
      </c>
      <c r="E87" s="162">
        <f>C87</f>
        <v>0.1178</v>
      </c>
      <c r="F87" s="135">
        <f>E87/E86</f>
        <v>2.1453241233272657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3" t="s">
        <v>171</v>
      </c>
      <c r="E90" s="213"/>
      <c r="G90" s="94"/>
    </row>
    <row r="91" spans="1:8" ht="15" customHeight="1" x14ac:dyDescent="0.15">
      <c r="B91" s="1" t="s">
        <v>196</v>
      </c>
      <c r="C91" s="174" t="s">
        <v>230</v>
      </c>
      <c r="D91" s="207" t="s">
        <v>172</v>
      </c>
      <c r="E91" s="207"/>
      <c r="F91" s="29">
        <f>E83/C68</f>
        <v>0.15624904823762262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7" t="s">
        <v>168</v>
      </c>
      <c r="E92" s="207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863161.53994683642</v>
      </c>
      <c r="D95" s="155">
        <f>C95*Data!$E$3/Common_Shares</f>
        <v>0.64737107403874306</v>
      </c>
    </row>
    <row r="96" spans="1:8" ht="15" customHeight="1" x14ac:dyDescent="0.15">
      <c r="B96" s="28" t="s">
        <v>157</v>
      </c>
      <c r="C96" s="102">
        <f>E82*Exchange_Rate</f>
        <v>2398.1032528877258</v>
      </c>
      <c r="D96" s="155">
        <f>C96*Data!$E$3/Common_Shares</f>
        <v>1.7985772148436424E-3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2333714.5077104806</v>
      </c>
      <c r="D97" s="156">
        <f>C97*Data!$E$3/Common_Shares</f>
        <v>1.7502856619971527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3194477.9444044293</v>
      </c>
      <c r="D98" s="124">
        <f>MAX(C98*Data!$E$3/Common_Shares,0)</f>
        <v>2.3958581588210524</v>
      </c>
      <c r="E98" s="124">
        <f>D98*(1-25%)</f>
        <v>1.7968936191157892</v>
      </c>
      <c r="F98" s="124">
        <f>D98*1.25</f>
        <v>2.9948226985263156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1851761.2739762594</v>
      </c>
      <c r="D101" s="155">
        <f>E87/(C92-F92)*Exchange_Rate</f>
        <v>1.3888207818795968</v>
      </c>
      <c r="E101" s="124">
        <f>D101*(1-25%)</f>
        <v>1.0416155864096976</v>
      </c>
      <c r="F101" s="124">
        <f>D101*1.25</f>
        <v>1.7360259773494959</v>
      </c>
    </row>
    <row r="103" spans="2:6" ht="15" customHeight="1" x14ac:dyDescent="0.15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15">
      <c r="B104" s="1" t="s">
        <v>225</v>
      </c>
      <c r="C104" s="102">
        <f>D104*Common_Shares/Data!E3</f>
        <v>2523119.6091903448</v>
      </c>
      <c r="D104" s="155">
        <f>(D98+D101)/2</f>
        <v>1.8923394703503247</v>
      </c>
      <c r="E104" s="124">
        <f>D104*(1-25%)</f>
        <v>1.4192546027627435</v>
      </c>
      <c r="F104" s="124">
        <f>D104*1.25</f>
        <v>2.3654243379379061</v>
      </c>
    </row>
    <row r="106" spans="2:6" ht="15" customHeight="1" x14ac:dyDescent="0.15">
      <c r="B106" s="10" t="s">
        <v>182</v>
      </c>
      <c r="C106" s="166" t="s">
        <v>231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