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134F36E-072D-46B5-8F16-0479500C83D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E95" i="4" l="1"/>
  <c r="F96" i="4"/>
  <c r="F95" i="4"/>
  <c r="F97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<sst xmlns="http://schemas.openxmlformats.org/spreadsheetml/2006/main" count="406" uniqueCount="289">
  <si>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</si>
  <si>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</si>
  <si>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</si>
  <si>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</si>
  <si>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</si>
  <si>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</si>
  <si>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</si>
  <si>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</si>
  <si>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</si>
  <si>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</si>
  <si>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</si>
  <si>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</si>
  <si>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</si>
  <si>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</si>
  <si>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</si>
  <si>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</si>
  <si>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</si>
  <si>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</si>
  <si>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</si>
  <si>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</si>
  <si>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</si>
  <si>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</si>
  <si>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</si>
  <si>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</si>
  <si>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</si>
  <si>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</si>
  <si>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</si>
  <si>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</si>
  <si>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</si>
  <si>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</si>
  <si>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</si>
  <si>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</si>
  <si>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</si>
  <si>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</si>
  <si>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</si>
  <si>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</si>
  <si>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</si>
  <si>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</si>
  <si>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</si>
  <si>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</si>
  <si>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</si>
  <si>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</si>
  <si>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</si>
  <si>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</si>
  <si>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</si>
  <si>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</si>
  <si>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</si>
  <si>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</si>
  <si>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</si>
  <si>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</si>
  <si>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</si>
  <si>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</si>
  <si>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</si>
  <si>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</si>
  <si>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</si>
  <si>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</si>
  <si>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</si>
  <si>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</si>
  <si>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</si>
  <si>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</si>
  <si>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</si>
  <si>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</si>
  <si>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</si>
  <si>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</si>
  <si>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</si>
  <si>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</si>
  <si>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</si>
  <si>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</si>
  <si>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</si>
  <si>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</si>
  <si>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</si>
  <si>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</si>
  <si>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</si>
  <si>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</si>
  <si>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</si>
  <si>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</si>
  <si>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</si>
  <si>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</si>
  <si>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</si>
  <si>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</si>
  <si>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</si>
  <si>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</si>
  <si>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</si>
  <si>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</si>
  <si>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</si>
  <si>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</si>
  <si>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</si>
  <si>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</si>
  <si>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</si>
  <si>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</si>
  <si>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</si>
  <si>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</si>
  <si>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</si>
  <si>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</si>
  <si>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</si>
  <si>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</si>
  <si>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</si>
  <si>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</si>
  <si>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</si>
  <si>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</si>
  <si>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</si>
  <si>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</si>
  <si>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</si>
  <si>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</si>
  <si>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</si>
  <si>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</si>
  <si>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</si>
  <si>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</si>
  <si>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</si>
  <si>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</si>
  <si>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</si>
  <si>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</si>
  <si>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</si>
  <si>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</si>
  <si>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</si>
  <si>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</si>
  <si>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</si>
  <si>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</si>
  <si>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</si>
  <si>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</si>
  <si>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</si>
  <si>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</si>
  <si>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</si>
  <si>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</si>
  <si>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</si>
  <si>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</si>
  <si>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</si>
  <si>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</si>
  <si>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</si>
  <si>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</si>
  <si>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</si>
  <si>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</si>
  <si>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</si>
  <si>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</si>
  <si>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</si>
  <si>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</si>
  <si>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</si>
  <si>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</si>
  <si>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</si>
  <si>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</si>
  <si>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</si>
  <si>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</si>
  <si>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</si>
  <si>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</si>
  <si>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</si>
  <si>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</si>
  <si>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</si>
  <si>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</si>
  <si>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</si>
  <si>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</si>
  <si>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</si>
  <si>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</si>
  <si>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</si>
  <si>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</si>
  <si>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</si>
  <si>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</si>
  <si>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</si>
  <si>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</si>
  <si>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</si>
  <si>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</si>
  <si>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</si>
  <si>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</si>
  <si>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</si>
  <si>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</si>
  <si>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</si>
  <si>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</si>
  <si>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</si>
  <si>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</si>
  <si>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</si>
  <si>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</si>
  <si>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</si>
  <si>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</si>
  <si>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</si>
  <si>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</si>
  <si>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</si>
  <si>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</si>
  <si>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</si>
  <si>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</si>
  <si>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</si>
  <si>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</si>
  <si>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</si>
  <si>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</si>
  <si>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</si>
  <si>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</si>
  <si>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</si>
  <si>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</si>
  <si>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</si>
  <si>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</si>
  <si>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</si>
  <si>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</si>
  <si>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</si>
  <si>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</si>
  <si>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</si>
  <si>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</si>
  <si>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</si>
  <si>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</si>
  <si>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</si>
  <si>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</si>
  <si>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</si>
  <si>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</si>
  <si>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</si>
  <si>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</si>
  <si>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</si>
  <si>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</si>
  <si>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</si>
  <si>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</si>
  <si>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</si>
  <si>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</si>
  <si>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</si>
  <si>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</si>
  <si>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</si>
  <si>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</si>
  <si>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</si>
  <si>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</si>
  <si>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</si>
  <si>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</si>
  <si>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</si>
  <si>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</si>
  <si>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</si>
  <si>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</si>
  <si>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</si>
  <si>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</si>
  <si>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</si>
  <si>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</si>
  <si>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</si>
  <si>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</si>
  <si>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</si>
  <si>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</si>
  <si>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</si>
  <si>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</si>
  <si>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</si>
  <si>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</si>
  <si>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</si>
  <si>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</si>
  <si>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</si>
  <si>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</si>
  <si>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</si>
  <si>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</si>
  <si>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</si>
  <si>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</si>
  <si>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</si>
  <si>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</si>
  <si>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</si>
  <si>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</si>
  <si>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</si>
  <si>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</si>
  <si>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</si>
  <si>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</si>
  <si>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</si>
  <si>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</si>
  <si>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</si>
  <si>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</si>
  <si>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</si>
  <si>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</si>
  <si>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</si>
  <si>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</si>
  <si>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</si>
  <si>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</si>
  <si>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</si>
  <si>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</si>
  <si>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</si>
  <si>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</si>
  <si>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</si>
  <si>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</si>
  <si>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</si>
  <si>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</si>
  <si>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</si>
  <si>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</si>
  <si>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</si>
  <si>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</si>
  <si>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</si>
  <si>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</si>
  <si>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</si>
  <si>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</si>
  <si>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</si>
  <si>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</si>
  <si>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</si>
  <si>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</si>
  <si>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</si>
  <si>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</si>
  <si>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0005.HK</t>
  </si>
  <si>
    <t>HSBC</t>
  </si>
  <si>
    <t xml:space="preserve">Superior Cycl. </t>
  </si>
  <si>
    <t>C0014</t>
  </si>
  <si>
    <t>USD</t>
  </si>
  <si>
    <t>UK Tax Rate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</si>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</sst>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280</v>
      </c>
      <c r="D4" s="66"/>
    </row>
    <row r="5" spans="1:5" x14ac:dyDescent="0.35">
      <c r="B5" s="46" t="s">
        <v>168</v>
      </c>
      <c r="C5" s="67" t="s">
        <v>281</v>
      </c>
    </row>
    <row r="6" spans="1:5" x14ac:dyDescent="0.35">
      <c r="B6" s="46" t="s">
        <v>267</v>
      </c>
      <c r="C6" s="68">
        <v>45593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282</v>
      </c>
    </row>
    <row r="9" spans="1:5" x14ac:dyDescent="0.35">
      <c r="B9" s="39" t="s">
        <v>189</v>
      </c>
      <c r="C9" s="119" t="s">
        <v>283</v>
      </c>
    </row>
    <row r="10" spans="1:5" x14ac:dyDescent="0.35">
      <c r="B10" s="39" t="s">
        <v>190</v>
      </c>
      <c r="C10" s="70">
        <v>18208334222</v>
      </c>
    </row>
    <row r="11" spans="1:5" x14ac:dyDescent="0.35">
      <c r="B11" s="39" t="s">
        <v>191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164</v>
      </c>
    </row>
    <row r="16" spans="1:5" x14ac:dyDescent="0.35">
      <c r="B16" s="74" t="s">
        <v>88</v>
      </c>
      <c r="C16" s="120">
        <v>0.23499999999999999</v>
      </c>
      <c r="D16" s="75" t="s">
        <v>285</v>
      </c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286</v>
      </c>
      <c r="D18" s="75"/>
    </row>
    <row r="19" spans="2:13" x14ac:dyDescent="0.35">
      <c r="B19" s="56" t="s">
        <v>210</v>
      </c>
      <c r="C19" s="121" t="s">
        <v>286</v>
      </c>
      <c r="D19" s="75"/>
    </row>
    <row r="20" spans="2:13" x14ac:dyDescent="0.35">
      <c r="B20" s="57" t="s">
        <v>199</v>
      </c>
      <c r="C20" s="121" t="s">
        <v>286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287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116484</v>
      </c>
      <c r="D25" s="77">
        <v>67950</v>
      </c>
      <c r="E25" s="77">
        <v>52976</v>
      </c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3771</v>
      </c>
      <c r="D26" s="78">
        <v>3354</v>
      </c>
      <c r="E26" s="78">
        <v>3691</v>
      </c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32070</v>
      </c>
      <c r="D27" s="78">
        <v>32701</v>
      </c>
      <c r="E27" s="78">
        <v>34620</v>
      </c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>
        <v>65072</v>
      </c>
      <c r="D29" s="78">
        <v>22449</v>
      </c>
      <c r="E29" s="78">
        <v>9699</v>
      </c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1822</v>
      </c>
      <c r="E30" s="302">
        <v>2079</v>
      </c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2127</v>
      </c>
      <c r="D31" s="78">
        <v>1822</v>
      </c>
      <c r="E31" s="78">
        <v>2079</v>
      </c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>
        <v>2784589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190414</v>
      </c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7121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0.82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8.4785454403827967E-2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225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0.3</v>
      </c>
      <c r="E66" s="261" t="s">
        <v>63</v>
      </c>
    </row>
    <row r="67" spans="2:5" x14ac:dyDescent="0.35">
      <c r="B67" s="2" t="s">
        <v>41</v>
      </c>
      <c r="C67" s="86"/>
      <c r="D67" s="109">
        <v>0.2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245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288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116484</v>
      </c>
      <c r="D91" s="98"/>
      <c r="E91" s="99">
        <f>C91</f>
        <v>116484</v>
      </c>
      <c r="F91" s="99">
        <f>C91</f>
        <v>116484</v>
      </c>
    </row>
    <row r="92" spans="2:8" x14ac:dyDescent="0.35">
      <c r="B92" s="100" t="s">
        <v>97</v>
      </c>
      <c r="C92" s="97">
        <f>C26</f>
        <v>3771</v>
      </c>
      <c r="D92" s="101">
        <f>C92/C91</f>
        <v>3.237354486453075E-2</v>
      </c>
      <c r="E92" s="102">
        <f>E91*D92</f>
        <v>3771</v>
      </c>
      <c r="F92" s="102">
        <f>F91*D92</f>
        <v>3771</v>
      </c>
    </row>
    <row r="93" spans="2:8" x14ac:dyDescent="0.35">
      <c r="B93" s="100" t="s">
        <v>215</v>
      </c>
      <c r="C93" s="97">
        <f>C27+C28</f>
        <v>32070</v>
      </c>
      <c r="D93" s="101">
        <f>C93/C91</f>
        <v>0.27531678170392498</v>
      </c>
      <c r="E93" s="102">
        <f>E91*D93</f>
        <v>32069.999999999996</v>
      </c>
      <c r="F93" s="102">
        <f>F91*D93</f>
        <v>32069.999999999996</v>
      </c>
    </row>
    <row r="94" spans="2:8" x14ac:dyDescent="0.35">
      <c r="B94" s="100" t="s">
        <v>221</v>
      </c>
      <c r="C94" s="97">
        <f>C29</f>
        <v>65072</v>
      </c>
      <c r="D94" s="101">
        <f>C94/C91</f>
        <v>0.55863466227121317</v>
      </c>
      <c r="E94" s="103"/>
      <c r="F94" s="102">
        <f>F91*D94</f>
        <v>65071.999999999993</v>
      </c>
    </row>
    <row r="95" spans="2:8" x14ac:dyDescent="0.35">
      <c r="B95" s="18" t="s">
        <v>214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2780.3921568627452</v>
      </c>
      <c r="D97" s="101">
        <f>C97/C91</f>
        <v>2.3869305285384647E-2</v>
      </c>
      <c r="E97" s="103"/>
      <c r="F97" s="102">
        <f>F91*D97</f>
        <v>2780.3921568627452</v>
      </c>
    </row>
    <row r="98" spans="2:6" x14ac:dyDescent="0.35">
      <c r="B98" s="8" t="s">
        <v>180</v>
      </c>
      <c r="C98" s="104">
        <f>C44</f>
        <v>0.82</v>
      </c>
      <c r="D98" s="105"/>
      <c r="E98" s="106">
        <f>F98</f>
        <v>0.61</v>
      </c>
      <c r="F98" s="106">
        <v>0.61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0005.HK : HSBC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0005.HK</v>
      </c>
      <c r="D3" s="318"/>
      <c r="E3" s="3"/>
      <c r="F3" s="9" t="s">
        <v>1</v>
      </c>
      <c r="G3" s="10">
        <v>75.150000000000006</v>
      </c>
      <c r="H3" s="11" t="s">
        <v>255</v>
      </c>
    </row>
    <row r="4" spans="1:10" ht="15.75" customHeight="1" x14ac:dyDescent="0.35">
      <c r="B4" s="12" t="s">
        <v>168</v>
      </c>
      <c r="C4" s="312" t="str">
        <f>Inputs!C5</f>
        <v>HSBC</v>
      </c>
      <c r="D4" s="319"/>
      <c r="E4" s="3"/>
      <c r="F4" s="9" t="s">
        <v>2</v>
      </c>
      <c r="G4" s="322">
        <f>Inputs!C10</f>
        <v>18208334222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45593</v>
      </c>
      <c r="D5" s="321"/>
      <c r="E5" s="16"/>
      <c r="F5" s="12" t="s">
        <v>91</v>
      </c>
      <c r="G5" s="315">
        <f>G3*G4/1000000</f>
        <v>1368356.3167833001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USD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5</v>
      </c>
      <c r="G7" s="21">
        <v>7.7702767054239912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HK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>
        <f>C21*C22*C23</f>
        <v>0.42479858937950304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0.66844036814615959</v>
      </c>
      <c r="F21" s="3"/>
      <c r="G21" s="34"/>
    </row>
    <row r="22" spans="1:8" ht="15.75" customHeight="1" x14ac:dyDescent="0.35">
      <c r="B22" s="35" t="s">
        <v>243</v>
      </c>
      <c r="C22" s="36">
        <f>Data!C50</f>
        <v>3.9154246231012206E-2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>
        <f>1/Data!C55</f>
        <v>16.230859880082708</v>
      </c>
      <c r="F23" s="39" t="s">
        <v>163</v>
      </c>
      <c r="G23" s="40">
        <f>G3/(Data!C36*Data!C4/Common_Shares*Exchange_Rate)</f>
        <v>0.92483411278448246</v>
      </c>
    </row>
    <row r="24" spans="1:8" ht="15.75" customHeight="1" x14ac:dyDescent="0.35">
      <c r="B24" s="41" t="s">
        <v>238</v>
      </c>
      <c r="C24" s="42">
        <f>Fin_Analysis!I81</f>
        <v>0.55863466227121317</v>
      </c>
      <c r="F24" s="39" t="s">
        <v>223</v>
      </c>
      <c r="G24" s="43">
        <f>G3/(Fin_Analysis!H86*G7)</f>
        <v>17.997413620159836</v>
      </c>
    </row>
    <row r="25" spans="1:8" ht="15.75" customHeight="1" x14ac:dyDescent="0.35">
      <c r="B25" s="28" t="s">
        <v>239</v>
      </c>
      <c r="C25" s="44">
        <f>Fin_Analysis!I80</f>
        <v>0</v>
      </c>
      <c r="F25" s="39" t="s">
        <v>151</v>
      </c>
      <c r="G25" s="44">
        <f>Fin_Analysis!I88</f>
        <v>1.1351347854221043</v>
      </c>
    </row>
    <row r="26" spans="1:8" ht="15.75" customHeight="1" x14ac:dyDescent="0.35">
      <c r="B26" s="45" t="s">
        <v>240</v>
      </c>
      <c r="C26" s="44">
        <f>Fin_Analysis!I80+Fin_Analysis!I82</f>
        <v>0</v>
      </c>
      <c r="F26" s="46" t="s">
        <v>166</v>
      </c>
      <c r="G26" s="47">
        <f>Fin_Analysis!H88*Exchange_Rate/G3</f>
        <v>6.3072106324798857E-2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222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53.491168652619415</v>
      </c>
      <c r="D29" s="54">
        <f>G29*(1+G20)</f>
        <v>94.780393041917335</v>
      </c>
      <c r="E29" s="3"/>
      <c r="F29" s="55">
        <f>IF(Fin_Analysis!C108="Profit",Fin_Analysis!F100,IF(Fin_Analysis!C108="Dividend",Fin_Analysis!F103,Fin_Analysis!F106))</f>
        <v>62.93078665014049</v>
      </c>
      <c r="G29" s="314">
        <f>IF(Fin_Analysis!C108="Profit",Fin_Analysis!I100,IF(Fin_Analysis!C108="Dividend",Fin_Analysis!I103,Fin_Analysis!I106))</f>
        <v>82.417733079928126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77862.607843137259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USD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116484</v>
      </c>
      <c r="D6" s="142">
        <f>IF(Inputs!D25="","",Inputs!D25)</f>
        <v>67950</v>
      </c>
      <c r="E6" s="142">
        <f>IF(Inputs!E25="","",Inputs!E25)</f>
        <v>52976</v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0.71426048565121403</v>
      </c>
      <c r="D7" s="143">
        <f t="shared" si="1"/>
        <v>0.28265629719118102</v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3771</v>
      </c>
      <c r="D8" s="144">
        <f>IF(Inputs!D26="","",Inputs!D26)</f>
        <v>3354</v>
      </c>
      <c r="E8" s="144">
        <f>IF(Inputs!E26="","",Inputs!E26)</f>
        <v>3691</v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112713</v>
      </c>
      <c r="D9" s="273">
        <f t="shared" si="2"/>
        <v>64596</v>
      </c>
      <c r="E9" s="273">
        <f t="shared" si="2"/>
        <v>49285</v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32070</v>
      </c>
      <c r="D10" s="144">
        <f>IF(Inputs!D27="","",Inputs!D27)</f>
        <v>32701</v>
      </c>
      <c r="E10" s="144">
        <f>IF(Inputs!E27="","",Inputs!E27)</f>
        <v>34620</v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2780.3921568627452</v>
      </c>
      <c r="D12" s="144">
        <f>IF(Inputs!D31="","",MAX(Inputs!D31,0)/(1-Fin_Analysis!$I$84))</f>
        <v>2381.6993464052289</v>
      </c>
      <c r="E12" s="144">
        <f>IF(Inputs!E31="","",MAX(Inputs!E31,0)/(1-Fin_Analysis!$I$84))</f>
        <v>2717.6470588235293</v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0.66844036814615959</v>
      </c>
      <c r="D13" s="292">
        <f t="shared" si="3"/>
        <v>0.43433849379830419</v>
      </c>
      <c r="E13" s="292">
        <f t="shared" si="3"/>
        <v>0.22552387762716081</v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77862.607843137259</v>
      </c>
      <c r="D14" s="294">
        <f t="shared" ref="D14:M14" si="4">IF(D6="","",D9-D10-MAX(D11,0)-MAX(D12,0))</f>
        <v>29513.300653594772</v>
      </c>
      <c r="E14" s="294">
        <f t="shared" si="4"/>
        <v>11947.35294117647</v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1.6382209417045821</v>
      </c>
      <c r="D15" s="296">
        <f t="shared" ref="D15:M15" si="5">IF(E14="","",IF(ABS(D14+E14)=ABS(D14)+ABS(E14),IF(D14&lt;0,-1,1)*(D14-E14)/E14,"Turn"))</f>
        <v>1.4702794668329739</v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-27691.300653594772</v>
      </c>
      <c r="E16" s="147">
        <f t="shared" si="6"/>
        <v>-9868.3529411764703</v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1822</v>
      </c>
      <c r="E17" s="307">
        <f>IF(Inputs!E30="","",Inputs!E30)</f>
        <v>2079</v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>
        <f>IF(Inputs!C29="","",Inputs!C29)</f>
        <v>65072</v>
      </c>
      <c r="D19" s="144">
        <f>IF(Inputs!D29="","",Inputs!D29)</f>
        <v>22449</v>
      </c>
      <c r="E19" s="144">
        <f>IF(Inputs!E29="","",Inputs!E29)</f>
        <v>9699</v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12790.607843137259</v>
      </c>
      <c r="D24" s="309">
        <f t="shared" si="9"/>
        <v>7064.3006535947716</v>
      </c>
      <c r="E24" s="309">
        <f t="shared" si="9"/>
        <v>2248.3529411764703</v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8.4001364994333999E-2</v>
      </c>
      <c r="D25" s="143">
        <f t="shared" si="10"/>
        <v>7.9531861662987494E-2</v>
      </c>
      <c r="E25" s="143">
        <f t="shared" si="10"/>
        <v>3.2467343702808814E-2</v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9784.8150000000023</v>
      </c>
      <c r="D26" s="276">
        <f>IF(D6="","",D24*(1-Fin_Analysis!$I$84))</f>
        <v>5404.1900000000005</v>
      </c>
      <c r="E26" s="276">
        <f>IF(E6="","",E24*(1-Fin_Analysis!$I$84))</f>
        <v>1719.9899999999998</v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0.81059788793510246</v>
      </c>
      <c r="D27" s="305">
        <f t="shared" si="11"/>
        <v>2.1419891976116148</v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2975003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2784589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190414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7121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2975003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2.6172278765143182E-2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3.237354486453075E-2</v>
      </c>
      <c r="D42" s="150">
        <f t="shared" si="35"/>
        <v>4.9359823399558501E-2</v>
      </c>
      <c r="E42" s="150">
        <f t="shared" si="35"/>
        <v>6.9673059498640888E-2</v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0.27531678170392498</v>
      </c>
      <c r="D43" s="146">
        <f t="shared" si="36"/>
        <v>0.48125091979396617</v>
      </c>
      <c r="E43" s="146">
        <f t="shared" si="36"/>
        <v>0.65350347327091518</v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0.55863466227121317</v>
      </c>
      <c r="D45" s="146">
        <f t="shared" si="38"/>
        <v>0.33037527593818983</v>
      </c>
      <c r="E45" s="146">
        <f t="shared" si="38"/>
        <v>0.18308290546662639</v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2.3869305285384647E-2</v>
      </c>
      <c r="D46" s="146">
        <f t="shared" si="39"/>
        <v>3.5050763008171136E-2</v>
      </c>
      <c r="E46" s="146">
        <f t="shared" si="39"/>
        <v>5.1299589603283173E-2</v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0.10980570587494642</v>
      </c>
      <c r="D48" s="281">
        <f t="shared" si="41"/>
        <v>0.10396321786011437</v>
      </c>
      <c r="E48" s="281">
        <f t="shared" si="41"/>
        <v>4.2440972160534399E-2</v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>
        <f t="shared" ref="C50:M50" si="42">IF(C6="","",C6/C29)</f>
        <v>3.9154246231012206E-2</v>
      </c>
      <c r="D50" s="153" t="e">
        <f t="shared" si="42"/>
        <v>#VALUE!</v>
      </c>
      <c r="E50" s="153" t="e">
        <f t="shared" si="42"/>
        <v>#VALUE!</v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>
        <f t="shared" ref="C55:M55" si="46">IF(C36="","",(C36-C37)/C29)</f>
        <v>6.161103030820473E-2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5.0874830030000551</v>
      </c>
      <c r="D57" s="146">
        <f t="shared" si="48"/>
        <v>3.1778092554110788</v>
      </c>
      <c r="E57" s="146">
        <f t="shared" si="48"/>
        <v>4.3138244989796455</v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>
        <f t="shared" ref="C60:M60" si="50">IF(C14="","",C14/(C36-C37))</f>
        <v>0.4247985893795031</v>
      </c>
      <c r="D60" s="156" t="e">
        <f t="shared" si="50"/>
        <v>#VALUE!</v>
      </c>
      <c r="E60" s="156" t="e">
        <f t="shared" si="50"/>
        <v>#VALUE!</v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>
        <f t="shared" ref="C61:M61" si="51">IF(C24="","",C24/(C36-C37))</f>
        <v>6.978230397853305E-2</v>
      </c>
      <c r="D61" s="156" t="e">
        <f t="shared" si="51"/>
        <v>#VALUE!</v>
      </c>
      <c r="E61" s="156" t="e">
        <f t="shared" si="51"/>
        <v>#VALUE!</v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190414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183293</v>
      </c>
      <c r="K3" s="75"/>
    </row>
    <row r="4" spans="1:11" ht="15" customHeight="1" x14ac:dyDescent="0.35">
      <c r="B4" s="9" t="s">
        <v>21</v>
      </c>
      <c r="C4" s="3"/>
      <c r="D4" s="144">
        <f>Inputs!C42</f>
        <v>7121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-2791710</v>
      </c>
      <c r="E6" s="170">
        <f>1-D6/D3</f>
        <v>15.661264402827523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0.3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0.2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2784589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2784589</v>
      </c>
      <c r="J48" s="187"/>
    </row>
    <row r="49" spans="2:11" ht="15" customHeight="1" thickTop="1" x14ac:dyDescent="0.35">
      <c r="B49" s="9" t="s">
        <v>13</v>
      </c>
      <c r="C49" s="184">
        <f>Inputs!C41+Inputs!C37</f>
        <v>2975003</v>
      </c>
      <c r="D49" s="170">
        <f>E49/C49</f>
        <v>0</v>
      </c>
      <c r="E49" s="176">
        <f>E28+E48</f>
        <v>0</v>
      </c>
      <c r="F49" s="3"/>
      <c r="G49" s="3"/>
      <c r="H49" s="9" t="s">
        <v>78</v>
      </c>
      <c r="I49" s="175">
        <f>Inputs!C37</f>
        <v>2784589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7121</v>
      </c>
      <c r="D53" s="34">
        <f>IF(E53=0, 0,E53/C53)</f>
        <v>1</v>
      </c>
      <c r="E53" s="176">
        <f>IF(C53=0,0,MAX(C53,C53*Dashboard!G23))</f>
        <v>7121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252</v>
      </c>
      <c r="I61" s="203">
        <f>C99*Data!$C$4/Common_Shares</f>
        <v>-1188.3034865834795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253</v>
      </c>
      <c r="I63" s="207">
        <f>IF(I61&gt;0,FV(I62,D93,0,-I61),I61)</f>
        <v>-1188.3034865834795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254</v>
      </c>
      <c r="I64" s="207">
        <f>IF(I61&gt;0,PV(C94,D93,0,-I63),I61)</f>
        <v>-1188.3034865834795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2975003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2784589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190414</v>
      </c>
      <c r="D70" s="34">
        <f t="shared" si="2"/>
        <v>-14.623866942556745</v>
      </c>
      <c r="E70" s="202">
        <f>E68-E69</f>
        <v>-2784589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116484</v>
      </c>
      <c r="D74" s="98"/>
      <c r="E74" s="256">
        <f>Inputs!E91</f>
        <v>116484</v>
      </c>
      <c r="F74" s="98"/>
      <c r="H74" s="256">
        <f>Inputs!F91</f>
        <v>116484</v>
      </c>
      <c r="I74" s="98"/>
      <c r="K74" s="75"/>
    </row>
    <row r="75" spans="1:11" ht="15" customHeight="1" x14ac:dyDescent="0.35">
      <c r="B75" s="100" t="s">
        <v>97</v>
      </c>
      <c r="C75" s="97">
        <f>Data!C8</f>
        <v>3771</v>
      </c>
      <c r="D75" s="101">
        <f>C75/$C$74</f>
        <v>3.237354486453075E-2</v>
      </c>
      <c r="E75" s="256">
        <f>Inputs!E92</f>
        <v>3771</v>
      </c>
      <c r="F75" s="211">
        <f>E75/E74</f>
        <v>3.237354486453075E-2</v>
      </c>
      <c r="H75" s="256">
        <f>Inputs!F92</f>
        <v>3771</v>
      </c>
      <c r="I75" s="211">
        <f>H75/$H$74</f>
        <v>3.237354486453075E-2</v>
      </c>
      <c r="K75" s="75"/>
    </row>
    <row r="76" spans="1:11" ht="15" customHeight="1" x14ac:dyDescent="0.35">
      <c r="B76" s="12" t="s">
        <v>87</v>
      </c>
      <c r="C76" s="145">
        <f>C74-C75</f>
        <v>112713</v>
      </c>
      <c r="D76" s="212"/>
      <c r="E76" s="213">
        <f>E74-E75</f>
        <v>112713</v>
      </c>
      <c r="F76" s="212"/>
      <c r="H76" s="213">
        <f>H74-H75</f>
        <v>112713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32070</v>
      </c>
      <c r="D77" s="101">
        <f>C77/$C$74</f>
        <v>0.27531678170392498</v>
      </c>
      <c r="E77" s="256">
        <f>Inputs!E93</f>
        <v>32069.999999999996</v>
      </c>
      <c r="F77" s="211">
        <f>E77/E74</f>
        <v>0.27531678170392498</v>
      </c>
      <c r="H77" s="256">
        <f>Inputs!F93</f>
        <v>32069.999999999996</v>
      </c>
      <c r="I77" s="211">
        <f>H77/$H$74</f>
        <v>0.27531678170392498</v>
      </c>
      <c r="K77" s="75"/>
    </row>
    <row r="78" spans="1:11" ht="15" customHeight="1" x14ac:dyDescent="0.35">
      <c r="B78" s="93" t="s">
        <v>150</v>
      </c>
      <c r="C78" s="97">
        <f>MAX(Data!C12,0)</f>
        <v>2780.3921568627452</v>
      </c>
      <c r="D78" s="101">
        <f>C78/$C$74</f>
        <v>2.3869305285384647E-2</v>
      </c>
      <c r="E78" s="214">
        <f>E74*F78</f>
        <v>2780.3921568627452</v>
      </c>
      <c r="F78" s="211">
        <f>I78</f>
        <v>2.3869305285384647E-2</v>
      </c>
      <c r="H78" s="256">
        <f>Inputs!F97</f>
        <v>2780.3921568627452</v>
      </c>
      <c r="I78" s="211">
        <f>H78/$H$74</f>
        <v>2.3869305285384647E-2</v>
      </c>
      <c r="K78" s="75"/>
    </row>
    <row r="79" spans="1:11" ht="15" customHeight="1" x14ac:dyDescent="0.35">
      <c r="B79" s="215" t="s">
        <v>203</v>
      </c>
      <c r="C79" s="216">
        <f>C76-C77-C78</f>
        <v>77862.607843137259</v>
      </c>
      <c r="D79" s="217">
        <f>C79/C74</f>
        <v>0.66844036814615959</v>
      </c>
      <c r="E79" s="218">
        <f>E76-E77-E78</f>
        <v>77862.607843137259</v>
      </c>
      <c r="F79" s="217">
        <f>E79/E74</f>
        <v>0.66844036814615959</v>
      </c>
      <c r="G79" s="219"/>
      <c r="H79" s="218">
        <f>H76-H77-H78</f>
        <v>77862.607843137259</v>
      </c>
      <c r="I79" s="217">
        <f>H79/H74</f>
        <v>0.66844036814615959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65072</v>
      </c>
      <c r="D81" s="101">
        <f>C81/$C$74</f>
        <v>0.55863466227121317</v>
      </c>
      <c r="E81" s="214">
        <f>E74*F81</f>
        <v>65071.999999999993</v>
      </c>
      <c r="F81" s="211">
        <f>I81</f>
        <v>0.55863466227121317</v>
      </c>
      <c r="H81" s="256">
        <f>Inputs!F94</f>
        <v>65071.999999999993</v>
      </c>
      <c r="I81" s="211">
        <f>H81/$H$74</f>
        <v>0.55863466227121317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12790.607843137259</v>
      </c>
      <c r="D83" s="223">
        <f>C83/$C$74</f>
        <v>0.10980570587494642</v>
      </c>
      <c r="E83" s="224">
        <f>E79-E81-E82-E80</f>
        <v>12790.607843137266</v>
      </c>
      <c r="F83" s="223">
        <f>E83/E74</f>
        <v>0.10980570587494648</v>
      </c>
      <c r="H83" s="224">
        <f>H79-H81-H82-H80</f>
        <v>12790.607843137266</v>
      </c>
      <c r="I83" s="223">
        <f>H83/$H$74</f>
        <v>0.10980570587494648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0.23499999999999999</v>
      </c>
      <c r="E84" s="226"/>
      <c r="F84" s="227">
        <f t="shared" ref="F84" si="3">I84</f>
        <v>0.23499999999999999</v>
      </c>
      <c r="H84" s="226"/>
      <c r="I84" s="257">
        <f>Inputs!C16</f>
        <v>0.23499999999999999</v>
      </c>
      <c r="K84" s="75"/>
    </row>
    <row r="85" spans="1:11" ht="15" customHeight="1" x14ac:dyDescent="0.35">
      <c r="B85" s="228" t="s">
        <v>146</v>
      </c>
      <c r="C85" s="216">
        <f>C83*(1-I84)</f>
        <v>9784.8150000000023</v>
      </c>
      <c r="D85" s="217">
        <f>C85/$C$74</f>
        <v>8.4001364994333999E-2</v>
      </c>
      <c r="E85" s="229">
        <f>E83*(1-F84)</f>
        <v>9784.8150000000096</v>
      </c>
      <c r="F85" s="217">
        <f>E85/E74</f>
        <v>8.4001364994334068E-2</v>
      </c>
      <c r="G85" s="219"/>
      <c r="H85" s="229">
        <f>H83*(1-I84)</f>
        <v>9784.8150000000096</v>
      </c>
      <c r="I85" s="217">
        <f>H85/$H$74</f>
        <v>8.4001364994334068E-2</v>
      </c>
      <c r="K85" s="75"/>
    </row>
    <row r="86" spans="1:11" ht="15" customHeight="1" x14ac:dyDescent="0.35">
      <c r="B86" s="3" t="s">
        <v>143</v>
      </c>
      <c r="C86" s="230">
        <f>C85*Data!C4/Common_Shares</f>
        <v>0.53738111793761001</v>
      </c>
      <c r="D86" s="98"/>
      <c r="E86" s="231">
        <f>E85*Data!C4/Common_Shares</f>
        <v>0.53738111793761045</v>
      </c>
      <c r="F86" s="98"/>
      <c r="H86" s="231">
        <f>H85*Data!C4/Common_Shares</f>
        <v>0.53738111793761045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5.556353935655773E-2</v>
      </c>
      <c r="D87" s="98"/>
      <c r="E87" s="233">
        <f>E86*Exchange_Rate/Dashboard!G3</f>
        <v>5.5563539356557778E-2</v>
      </c>
      <c r="F87" s="98"/>
      <c r="H87" s="233">
        <f>H86*Exchange_Rate/Dashboard!G3</f>
        <v>5.5563539356557778E-2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0.82</v>
      </c>
      <c r="D88" s="235">
        <f>C88/C86</f>
        <v>1.5259188918788955</v>
      </c>
      <c r="E88" s="255">
        <f>Inputs!E98</f>
        <v>0.61</v>
      </c>
      <c r="F88" s="235">
        <f>E88/E86</f>
        <v>1.1351347854221043</v>
      </c>
      <c r="H88" s="255">
        <f>Inputs!F98</f>
        <v>0.61</v>
      </c>
      <c r="I88" s="235">
        <f>H88/H86</f>
        <v>1.1351347854221043</v>
      </c>
      <c r="K88" s="75"/>
    </row>
    <row r="89" spans="1:11" ht="15" customHeight="1" x14ac:dyDescent="0.35">
      <c r="B89" s="3" t="s">
        <v>193</v>
      </c>
      <c r="C89" s="232">
        <f>C88*Exchange_Rate/Dashboard!G3</f>
        <v>8.4785454403827967E-2</v>
      </c>
      <c r="D89" s="98"/>
      <c r="E89" s="232">
        <f>E88*Exchange_Rate/Dashboard!G3</f>
        <v>6.3072106324798857E-2</v>
      </c>
      <c r="F89" s="98"/>
      <c r="H89" s="232">
        <f>H88*Exchange_Rate/Dashboard!G3</f>
        <v>6.3072106324798857E-2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HK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182</v>
      </c>
      <c r="F93" s="237">
        <f>FV(E87,D93,0,-(E86/(C93-D94)))*Exchange_Rate</f>
        <v>94.252682693631314</v>
      </c>
      <c r="H93" s="3" t="s">
        <v>182</v>
      </c>
      <c r="I93" s="237">
        <f>FV(H87,D93,0,-(H86/(C93-D94)))*Exchange_Rate</f>
        <v>94.252682693631314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110.06633916851224</v>
      </c>
      <c r="H94" s="3" t="s">
        <v>183</v>
      </c>
      <c r="I94" s="237">
        <f>FV(H89,D93,0,-(H88/(C93-D94)))*Exchange_Rate</f>
        <v>110.06633916851224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981233.97089390317</v>
      </c>
      <c r="D97" s="244"/>
      <c r="E97" s="245">
        <f>PV(C94,D93,0,-F93)</f>
        <v>53.889277235934031</v>
      </c>
      <c r="F97" s="244"/>
      <c r="H97" s="245">
        <f>PV(C94,D93,0,-I93)</f>
        <v>53.889277235934031</v>
      </c>
      <c r="I97" s="245">
        <f>PV(C93,D93,0,-I93)</f>
        <v>70.576458733835693</v>
      </c>
      <c r="K97" s="75"/>
    </row>
    <row r="98" spans="2:11" ht="15" customHeight="1" x14ac:dyDescent="0.35">
      <c r="B98" s="18" t="s">
        <v>132</v>
      </c>
      <c r="C98" s="243">
        <f>-E53*Exchange_Rate</f>
        <v>-55332.140419324242</v>
      </c>
      <c r="D98" s="244"/>
      <c r="E98" s="244"/>
      <c r="F98" s="244"/>
      <c r="H98" s="245">
        <f>C98*Data!$C$4/Common_Shares</f>
        <v>-3.0388359387905926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-21637027.040879887</v>
      </c>
      <c r="D99" s="248"/>
      <c r="E99" s="249">
        <f>IF(H99&gt;0,I64,H99)</f>
        <v>-1188.3034865834795</v>
      </c>
      <c r="F99" s="248"/>
      <c r="H99" s="249">
        <f>I64</f>
        <v>-1188.3034865834795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53.491168652619415</v>
      </c>
      <c r="E103" s="245">
        <f>PV(C94,D93,0,-F94)</f>
        <v>62.93078665014049</v>
      </c>
      <c r="F103" s="251">
        <f>(E103+H103)/2</f>
        <v>62.93078665014049</v>
      </c>
      <c r="H103" s="245">
        <f>PV(C94,D93,0,-I94)</f>
        <v>62.93078665014049</v>
      </c>
      <c r="I103" s="251">
        <f>PV(C93,D93,0,-I94)</f>
        <v>82.417733079928126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26.745584326309707</v>
      </c>
      <c r="E106" s="245">
        <f>(E100+E103)/2</f>
        <v>31.465393325070245</v>
      </c>
      <c r="F106" s="251">
        <f>(F100+F103)/2</f>
        <v>31.465393325070245</v>
      </c>
      <c r="H106" s="245">
        <f>(H100+H103)/2</f>
        <v>31.465393325070245</v>
      </c>
      <c r="I106" s="245">
        <f>(I100+I103)/2</f>
        <v>41.208866539964063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