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3727275-79BD-48AA-8CBD-8181E4469D2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33" i="4"/>
  <c r="C33" i="4"/>
  <c r="D32" i="4"/>
  <c r="C32" i="4"/>
  <c r="D27" i="4"/>
  <c r="C27" i="4"/>
  <c r="F96" i="4" l="1"/>
  <c r="E92" i="4"/>
  <c r="F97" i="4"/>
  <c r="E95" i="4"/>
  <c r="F92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<sst xmlns="http://schemas.openxmlformats.org/spreadsheetml/2006/main" count="405" uniqueCount="288">
  <si>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</si>
  <si>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</si>
  <si>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</si>
  <si>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</si>
  <si>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</si>
  <si>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</si>
  <si>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</si>
  <si>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</si>
  <si>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</si>
  <si>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</si>
  <si>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</si>
  <si>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</si>
  <si>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</si>
  <si>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</si>
  <si>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</si>
  <si>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</si>
  <si>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</si>
  <si>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</si>
  <si>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</si>
  <si>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</si>
  <si>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</si>
  <si>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</si>
  <si>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</si>
  <si>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</si>
  <si>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</si>
  <si>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</si>
  <si>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</si>
  <si>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</si>
  <si>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</si>
  <si>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</si>
  <si>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</si>
  <si>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</si>
  <si>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</si>
  <si>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</si>
  <si>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</si>
  <si>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</si>
  <si>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</si>
  <si>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</si>
  <si>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</si>
  <si>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</si>
  <si>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</si>
  <si>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</si>
  <si>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</si>
  <si>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</si>
  <si>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</si>
  <si>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</si>
  <si>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</si>
  <si>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</si>
  <si>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</si>
  <si>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</si>
  <si>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</si>
  <si>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</si>
  <si>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</si>
  <si>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</si>
  <si>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</si>
  <si>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</si>
  <si>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</si>
  <si>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</si>
  <si>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</si>
  <si>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</si>
  <si>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</si>
  <si>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</si>
  <si>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</si>
  <si>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</si>
  <si>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</si>
  <si>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</si>
  <si>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</si>
  <si>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</si>
  <si>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</si>
  <si>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</si>
  <si>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</si>
  <si>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</si>
  <si>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</si>
  <si>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</si>
  <si>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</si>
  <si>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</si>
  <si>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</si>
  <si>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</si>
  <si>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</si>
  <si>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</si>
  <si>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</si>
  <si>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</si>
  <si>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</si>
  <si>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</si>
  <si>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</si>
  <si>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</si>
  <si>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</si>
  <si>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</si>
  <si>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</si>
  <si>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</si>
  <si>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</si>
  <si>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</si>
  <si>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</si>
  <si>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</si>
  <si>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</si>
  <si>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</si>
  <si>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</si>
  <si>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</si>
  <si>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</si>
  <si>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</si>
  <si>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</si>
  <si>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</si>
  <si>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</si>
  <si>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</si>
  <si>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</si>
  <si>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</si>
  <si>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</si>
  <si>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</si>
  <si>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</si>
  <si>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</si>
  <si>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</si>
  <si>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</si>
  <si>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</si>
  <si>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</si>
  <si>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</si>
  <si>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</si>
  <si>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</si>
  <si>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</si>
  <si>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</si>
  <si>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</si>
  <si>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</si>
  <si>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</si>
  <si>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</si>
  <si>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</si>
  <si>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</si>
  <si>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</si>
  <si>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</si>
  <si>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</si>
  <si>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</si>
  <si>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</si>
  <si>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</si>
  <si>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</si>
  <si>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</si>
  <si>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</si>
  <si>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</si>
  <si>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</si>
  <si>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</si>
  <si>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</si>
  <si>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</si>
  <si>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</si>
  <si>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</si>
  <si>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</si>
  <si>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</si>
  <si>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</si>
  <si>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</si>
  <si>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</si>
  <si>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</si>
  <si>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</si>
  <si>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</si>
  <si>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</si>
  <si>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</si>
  <si>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</si>
  <si>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</si>
  <si>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</si>
  <si>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</si>
  <si>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</si>
  <si>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</si>
  <si>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</si>
  <si>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</si>
  <si>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</si>
  <si>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</si>
  <si>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</si>
  <si>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</si>
  <si>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</si>
  <si>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</si>
  <si>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</si>
  <si>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</si>
  <si>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</si>
  <si>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</si>
  <si>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</si>
  <si>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</si>
  <si>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</si>
  <si>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</si>
  <si>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</si>
  <si>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</si>
  <si>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</si>
  <si>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</si>
  <si>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</si>
  <si>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</si>
  <si>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</si>
  <si>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</si>
  <si>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</si>
  <si>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</si>
  <si>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</si>
  <si>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</si>
  <si>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</si>
  <si>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</si>
  <si>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</si>
  <si>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</si>
  <si>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</si>
  <si>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</si>
  <si>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</si>
  <si>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</si>
  <si>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</si>
  <si>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</si>
  <si>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</si>
  <si>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</si>
  <si>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</si>
  <si>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</si>
  <si>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</si>
  <si>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</si>
  <si>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</si>
  <si>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</si>
  <si>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</si>
  <si>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</si>
  <si>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</si>
  <si>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</si>
  <si>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</si>
  <si>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</si>
  <si>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</si>
  <si>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</si>
  <si>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</si>
  <si>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</si>
  <si>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</si>
  <si>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</si>
  <si>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</si>
  <si>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</si>
  <si>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</si>
  <si>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</si>
  <si>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</si>
  <si>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</si>
  <si>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</si>
  <si>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</si>
  <si>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</si>
  <si>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</si>
  <si>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</si>
  <si>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</si>
  <si>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</si>
  <si>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</si>
  <si>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</si>
  <si>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</si>
  <si>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</si>
  <si>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</si>
  <si>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</si>
  <si>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</si>
  <si>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</si>
  <si>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</si>
  <si>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</si>
  <si>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</si>
  <si>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</si>
  <si>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</si>
  <si>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</si>
  <si>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</si>
  <si>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</si>
  <si>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</si>
  <si>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</si>
  <si>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</si>
  <si>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</si>
  <si>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</si>
  <si>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</si>
  <si>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</si>
  <si>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</si>
  <si>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</si>
  <si>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</si>
  <si>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</si>
  <si>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</si>
  <si>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</si>
  <si>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</si>
  <si>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</si>
  <si>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</si>
  <si>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</si>
  <si>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</si>
  <si>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</si>
  <si>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</si>
  <si>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</si>
  <si>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</si>
  <si>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</si>
  <si>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</si>
  <si>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</si>
  <si>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</si>
  <si>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</si>
  <si>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</si>
  <si>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</si>
  <si>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</si>
  <si>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</si>
  <si>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</si>
  <si>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</si>
  <si>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</si>
  <si>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</si>
  <si>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</si>
  <si>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</si>
  <si>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</si>
  <si>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</si>
  <si>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</si>
  <si>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0220.HK</t>
  </si>
  <si>
    <t>统一中国</t>
  </si>
  <si>
    <t>C0002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</si>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</sst>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284</v>
      </c>
      <c r="D4" s="66"/>
    </row>
    <row r="5" spans="1:5" x14ac:dyDescent="0.35">
      <c r="B5" s="46" t="s">
        <v>168</v>
      </c>
      <c r="C5" s="67" t="s">
        <v>285</v>
      </c>
    </row>
    <row r="6" spans="1:5" x14ac:dyDescent="0.35">
      <c r="B6" s="46" t="s">
        <v>268</v>
      </c>
      <c r="C6" s="68">
        <v>45624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63</v>
      </c>
    </row>
    <row r="9" spans="1:5" x14ac:dyDescent="0.35">
      <c r="B9" s="39" t="s">
        <v>189</v>
      </c>
      <c r="C9" s="119" t="s">
        <v>286</v>
      </c>
    </row>
    <row r="10" spans="1:5" x14ac:dyDescent="0.35">
      <c r="B10" s="39" t="s">
        <v>190</v>
      </c>
      <c r="C10" s="70">
        <v>4319334000</v>
      </c>
    </row>
    <row r="11" spans="1:5" x14ac:dyDescent="0.35">
      <c r="B11" s="39" t="s">
        <v>191</v>
      </c>
      <c r="C11" s="69" t="s">
        <v>287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282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283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28591271</v>
      </c>
      <c r="D25" s="77">
        <v>28257432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19879540</v>
      </c>
      <c r="D26" s="78">
        <v>20069515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f>6277942+1065856</f>
        <v>7343798</v>
      </c>
      <c r="D27" s="78">
        <f>5886596+1041026</f>
        <v>6927622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59121</v>
      </c>
      <c r="D29" s="78">
        <v>60526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0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0</v>
      </c>
      <c r="D31" s="78">
        <v>0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>
        <f>2962482-3624143</f>
        <v>-661661</v>
      </c>
      <c r="D32" s="78">
        <f>2869480-2055079</f>
        <v>814401</v>
      </c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>
        <f>1021274+85158</f>
        <v>1106432</v>
      </c>
      <c r="D33" s="78">
        <f>1023585+92256</f>
        <v>1115841</v>
      </c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>
        <v>1078800</v>
      </c>
      <c r="D34" s="78">
        <v>545900</v>
      </c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v>0.42449999999999999</v>
      </c>
      <c r="D44" s="81">
        <v>0.33950000000000002</v>
      </c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5.8833470630149043E-2</v>
      </c>
      <c r="D45" s="82">
        <f>IF(D44="","",D44*Exchange_Rate/Dashboard!$G$3)</f>
        <v>4.7052917029294705E-2</v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28591271</v>
      </c>
      <c r="D91" s="98"/>
      <c r="E91" s="99">
        <f>C91</f>
        <v>28591271</v>
      </c>
      <c r="F91" s="99">
        <f>C91</f>
        <v>28591271</v>
      </c>
    </row>
    <row r="92" spans="2:8" x14ac:dyDescent="0.35">
      <c r="B92" s="100" t="s">
        <v>97</v>
      </c>
      <c r="C92" s="97">
        <f>C26</f>
        <v>19879540</v>
      </c>
      <c r="D92" s="101">
        <f>C92/C91</f>
        <v>0.69530102386843873</v>
      </c>
      <c r="E92" s="102">
        <f>E91*D92</f>
        <v>19879540</v>
      </c>
      <c r="F92" s="102">
        <f>F91*D92</f>
        <v>19879540</v>
      </c>
    </row>
    <row r="93" spans="2:8" x14ac:dyDescent="0.35">
      <c r="B93" s="100" t="s">
        <v>216</v>
      </c>
      <c r="C93" s="97">
        <f>C27+C28</f>
        <v>7343798</v>
      </c>
      <c r="D93" s="101">
        <f>C93/C91</f>
        <v>0.25685454836897598</v>
      </c>
      <c r="E93" s="102">
        <f>E91*D93</f>
        <v>7343798</v>
      </c>
      <c r="F93" s="102">
        <f>F91*D93</f>
        <v>7343798</v>
      </c>
    </row>
    <row r="94" spans="2:8" x14ac:dyDescent="0.35">
      <c r="B94" s="100" t="s">
        <v>222</v>
      </c>
      <c r="C94" s="97">
        <f>C29</f>
        <v>59121</v>
      </c>
      <c r="D94" s="101">
        <f>C94/C91</f>
        <v>2.0677989446499247E-3</v>
      </c>
      <c r="E94" s="103"/>
      <c r="F94" s="102">
        <f>F91*D94</f>
        <v>59121</v>
      </c>
    </row>
    <row r="95" spans="2:8" x14ac:dyDescent="0.35">
      <c r="B95" s="18" t="s">
        <v>215</v>
      </c>
      <c r="C95" s="97">
        <f>ABS(MAX(C34,0)-C33)</f>
        <v>27632</v>
      </c>
      <c r="D95" s="101">
        <f>C95/C91</f>
        <v>9.6644881579416319E-4</v>
      </c>
      <c r="E95" s="102">
        <f>E91*D95</f>
        <v>27632</v>
      </c>
      <c r="F95" s="102">
        <f>F91*D95</f>
        <v>27632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180</v>
      </c>
      <c r="C98" s="104">
        <f>C44</f>
        <v>0.42449999999999999</v>
      </c>
      <c r="D98" s="105"/>
      <c r="E98" s="106">
        <f>F98</f>
        <v>0.42449999999999999</v>
      </c>
      <c r="F98" s="106">
        <f>C98</f>
        <v>0.42449999999999999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0220.HK : 统一中国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167</v>
      </c>
      <c r="C3" s="317" t="str">
        <f>Inputs!C4</f>
        <v>0220.HK</v>
      </c>
      <c r="D3" s="318"/>
      <c r="E3" s="3"/>
      <c r="F3" s="9" t="s">
        <v>1</v>
      </c>
      <c r="G3" s="10">
        <v>7.68</v>
      </c>
      <c r="H3" s="11" t="s">
        <v>256</v>
      </c>
    </row>
    <row r="4" spans="1:10" ht="15.75" customHeight="1" x14ac:dyDescent="0.35">
      <c r="B4" s="12" t="s">
        <v>168</v>
      </c>
      <c r="C4" s="312" t="str">
        <f>Inputs!C5</f>
        <v>统一中国</v>
      </c>
      <c r="D4" s="319"/>
      <c r="E4" s="3"/>
      <c r="F4" s="9" t="s">
        <v>2</v>
      </c>
      <c r="G4" s="322">
        <f>Inputs!C10</f>
        <v>4319334000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45624</v>
      </c>
      <c r="D5" s="321"/>
      <c r="E5" s="16"/>
      <c r="F5" s="12" t="s">
        <v>91</v>
      </c>
      <c r="G5" s="315">
        <f>G3*G4/1000000</f>
        <v>33172.485119999998</v>
      </c>
      <c r="H5" s="315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6" t="str">
        <f>Inputs!C11</f>
        <v>CNY</v>
      </c>
      <c r="H6" s="316"/>
      <c r="I6" s="17"/>
    </row>
    <row r="7" spans="1:10" ht="15.75" customHeight="1" x14ac:dyDescent="0.35">
      <c r="B7" s="8" t="s">
        <v>165</v>
      </c>
      <c r="C7" s="123" t="str">
        <f>Inputs!C8</f>
        <v>N</v>
      </c>
      <c r="D7" s="123" t="str">
        <f>Inputs!C9</f>
        <v>C0002</v>
      </c>
      <c r="E7" s="3"/>
      <c r="F7" s="12" t="s">
        <v>5</v>
      </c>
      <c r="G7" s="21">
        <v>1.0644076665242512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4.7844427762585302E-2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2.0677989446499247E-3</v>
      </c>
      <c r="F24" s="39" t="s">
        <v>224</v>
      </c>
      <c r="G24" s="43">
        <f>G3/(Fin_Analysis!H86*G7)</f>
        <v>32.433857192934539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1.9081963845829624</v>
      </c>
    </row>
    <row r="26" spans="1:8" ht="15.75" customHeight="1" x14ac:dyDescent="0.35">
      <c r="B26" s="45" t="s">
        <v>241</v>
      </c>
      <c r="C26" s="44">
        <f>Fin_Analysis!I80+Fin_Analysis!I82</f>
        <v>9.6644881579416319E-4</v>
      </c>
      <c r="F26" s="46" t="s">
        <v>166</v>
      </c>
      <c r="G26" s="47">
        <f>Fin_Analysis!H88*Exchange_Rate/G3</f>
        <v>5.8833470630149043E-2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3" t="s">
        <v>223</v>
      </c>
      <c r="H28" s="313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2.1656609495601122</v>
      </c>
      <c r="D29" s="54">
        <f>G29*(1+G20)</f>
        <v>3.7667406564888557</v>
      </c>
      <c r="E29" s="3"/>
      <c r="F29" s="55">
        <f>IF(Fin_Analysis!C108="Profit",Fin_Analysis!F100,IF(Fin_Analysis!C108="Dividend",Fin_Analysis!F103,Fin_Analysis!F106))</f>
        <v>2.5478364112471912</v>
      </c>
      <c r="G29" s="314">
        <f>IF(Fin_Analysis!C108="Profit",Fin_Analysis!I100,IF(Fin_Analysis!C108="Dividend",Fin_Analysis!I103,Fin_Analysis!I106))</f>
        <v>3.2754266578163964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1367933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28591271</v>
      </c>
      <c r="D6" s="142">
        <f>IF(Inputs!D25="","",Inputs!D25)</f>
        <v>28257432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1.1814201658522983E-2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19879540</v>
      </c>
      <c r="D8" s="144">
        <f>IF(Inputs!D26="","",Inputs!D26)</f>
        <v>20069515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8711731</v>
      </c>
      <c r="D9" s="273">
        <f t="shared" si="2"/>
        <v>8187917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7343798</v>
      </c>
      <c r="D10" s="144">
        <f>IF(Inputs!D27="","",Inputs!D27)</f>
        <v>6927622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0</v>
      </c>
      <c r="D12" s="144">
        <f>IF(Inputs!D31="","",MAX(Inputs!D31,0)/(1-Fin_Analysis!$I$84))</f>
        <v>0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4.7844427762585302E-2</v>
      </c>
      <c r="D13" s="292">
        <f t="shared" si="3"/>
        <v>4.4600478911176356E-2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1367933</v>
      </c>
      <c r="D14" s="294">
        <f t="shared" ref="D14:M14" si="4">IF(D6="","",D9-D10-MAX(D11,0)-MAX(D12,0))</f>
        <v>1260295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8.5406988046449445E-2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-1260295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0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>
        <f>IF(Inputs!C32="","",Inputs!C32)</f>
        <v>-661661</v>
      </c>
      <c r="D18" s="144">
        <f>IF(Inputs!D32="","",Inputs!D32)</f>
        <v>814401</v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59121</v>
      </c>
      <c r="D19" s="144">
        <f>IF(Inputs!D29="","",Inputs!D29)</f>
        <v>60526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>
        <f t="shared" ref="C20:M20" si="7">IF(OR(C6="",C21=""),"",C21/C6)</f>
        <v>3.8698244649564548E-2</v>
      </c>
      <c r="D20" s="227">
        <f t="shared" si="7"/>
        <v>3.9488407863814377E-2</v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>
        <f>IF(Inputs!C33="","",Inputs!C33)</f>
        <v>1106432</v>
      </c>
      <c r="D21" s="144">
        <f>IF(Inputs!D33="","",Inputs!D33)</f>
        <v>1115841</v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3.7731795833770385E-2</v>
      </c>
      <c r="D22" s="227">
        <f t="shared" si="8"/>
        <v>1.9318811419240078E-2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>
        <f>IF(Inputs!C34="","",Inputs!C34)</f>
        <v>1078800</v>
      </c>
      <c r="D23" s="144">
        <f>IF(Inputs!D34="","",Inputs!D34)</f>
        <v>545900</v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1281180</v>
      </c>
      <c r="D24" s="309">
        <f t="shared" si="9"/>
        <v>-184573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3.3607635001605907E-2</v>
      </c>
      <c r="D25" s="143">
        <f t="shared" si="10"/>
        <v>-4.8988793461486524E-3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960885</v>
      </c>
      <c r="D26" s="276">
        <f>IF(D6="","",D24*(1-Fin_Analysis!$I$84))</f>
        <v>-138429.75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 t="str">
        <f t="shared" ref="C27:M27" si="11">IF(D26="","",IF(ABS(C26+D26)=ABS(C26)+ABS(D26),IF(C26&lt;0,-1,1)*(C26-D26)/D26,"Turn"))</f>
        <v>Turn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0.69530102386843873</v>
      </c>
      <c r="D42" s="150">
        <f t="shared" si="35"/>
        <v>0.71023846045174943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0.25685454836897598</v>
      </c>
      <c r="D43" s="146">
        <f t="shared" si="36"/>
        <v>0.24516106063707416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2.882077182385151E-2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2.0677989446499247E-3</v>
      </c>
      <c r="D45" s="146">
        <f t="shared" si="38"/>
        <v>2.1419497709487543E-3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0</v>
      </c>
      <c r="D46" s="146">
        <f t="shared" si="39"/>
        <v>0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9.6644881579416319E-4</v>
      </c>
      <c r="D47" s="146">
        <f t="shared" si="40"/>
        <v>2.0169596444574299E-2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4.4810180002141216E-2</v>
      </c>
      <c r="D48" s="281">
        <f t="shared" si="41"/>
        <v>-6.5318391281982031E-3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>
        <f t="shared" ref="C53:M53" si="45">IF(D6="","",C18/(C6-D6))</f>
        <v>-1.9819763418893539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4.6145740645342576E-2</v>
      </c>
      <c r="D57" s="146">
        <f t="shared" si="48"/>
        <v>-0.32792445265558884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28591271</v>
      </c>
      <c r="D74" s="98"/>
      <c r="E74" s="256">
        <f>Inputs!E91</f>
        <v>28591271</v>
      </c>
      <c r="F74" s="98"/>
      <c r="H74" s="256">
        <f>Inputs!F91</f>
        <v>28591271</v>
      </c>
      <c r="I74" s="98"/>
      <c r="K74" s="75"/>
    </row>
    <row r="75" spans="1:11" ht="15" customHeight="1" x14ac:dyDescent="0.35">
      <c r="B75" s="100" t="s">
        <v>97</v>
      </c>
      <c r="C75" s="97">
        <f>Data!C8</f>
        <v>19879540</v>
      </c>
      <c r="D75" s="101">
        <f>C75/$C$74</f>
        <v>0.69530102386843873</v>
      </c>
      <c r="E75" s="256">
        <f>Inputs!E92</f>
        <v>19879540</v>
      </c>
      <c r="F75" s="211">
        <f>E75/E74</f>
        <v>0.69530102386843873</v>
      </c>
      <c r="H75" s="256">
        <f>Inputs!F92</f>
        <v>19879540</v>
      </c>
      <c r="I75" s="211">
        <f>H75/$H$74</f>
        <v>0.69530102386843873</v>
      </c>
      <c r="K75" s="75"/>
    </row>
    <row r="76" spans="1:11" ht="15" customHeight="1" x14ac:dyDescent="0.35">
      <c r="B76" s="12" t="s">
        <v>87</v>
      </c>
      <c r="C76" s="145">
        <f>C74-C75</f>
        <v>8711731</v>
      </c>
      <c r="D76" s="212"/>
      <c r="E76" s="213">
        <f>E74-E75</f>
        <v>8711731</v>
      </c>
      <c r="F76" s="212"/>
      <c r="H76" s="213">
        <f>H74-H75</f>
        <v>8711731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7343798</v>
      </c>
      <c r="D77" s="101">
        <f>C77/$C$74</f>
        <v>0.25685454836897598</v>
      </c>
      <c r="E77" s="256">
        <f>Inputs!E93</f>
        <v>7343798</v>
      </c>
      <c r="F77" s="211">
        <f>E77/E74</f>
        <v>0.25685454836897598</v>
      </c>
      <c r="H77" s="256">
        <f>Inputs!F93</f>
        <v>7343798</v>
      </c>
      <c r="I77" s="211">
        <f>H77/$H$74</f>
        <v>0.25685454836897598</v>
      </c>
      <c r="K77" s="75"/>
    </row>
    <row r="78" spans="1:11" ht="15" customHeight="1" x14ac:dyDescent="0.35">
      <c r="B78" s="93" t="s">
        <v>150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203</v>
      </c>
      <c r="C79" s="216">
        <f>C76-C77-C78</f>
        <v>1367933</v>
      </c>
      <c r="D79" s="217">
        <f>C79/C74</f>
        <v>4.7844427762585302E-2</v>
      </c>
      <c r="E79" s="218">
        <f>E76-E77-E78</f>
        <v>1367933</v>
      </c>
      <c r="F79" s="217">
        <f>E79/E74</f>
        <v>4.7844427762585302E-2</v>
      </c>
      <c r="G79" s="219"/>
      <c r="H79" s="218">
        <f>H76-H77-H78</f>
        <v>1367933</v>
      </c>
      <c r="I79" s="217">
        <f>H79/H74</f>
        <v>4.7844427762585302E-2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59121</v>
      </c>
      <c r="D81" s="101">
        <f>C81/$C$74</f>
        <v>2.0677989446499247E-3</v>
      </c>
      <c r="E81" s="214">
        <f>E74*F81</f>
        <v>59121</v>
      </c>
      <c r="F81" s="211">
        <f>I81</f>
        <v>2.0677989446499247E-3</v>
      </c>
      <c r="H81" s="256">
        <f>Inputs!F94</f>
        <v>59121</v>
      </c>
      <c r="I81" s="211">
        <f>H81/$H$74</f>
        <v>2.0677989446499247E-3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27632</v>
      </c>
      <c r="D82" s="101">
        <f>C82/$C$74</f>
        <v>9.6644881579416319E-4</v>
      </c>
      <c r="E82" s="256">
        <f>Inputs!E95</f>
        <v>27632</v>
      </c>
      <c r="F82" s="211">
        <f>E82/E74</f>
        <v>9.6644881579416319E-4</v>
      </c>
      <c r="H82" s="256">
        <f>Inputs!F95</f>
        <v>27632</v>
      </c>
      <c r="I82" s="211">
        <f>H82/$H$74</f>
        <v>9.6644881579416319E-4</v>
      </c>
      <c r="K82" s="75"/>
    </row>
    <row r="83" spans="1:11" ht="15" customHeight="1" thickBot="1" x14ac:dyDescent="0.4">
      <c r="B83" s="221" t="s">
        <v>113</v>
      </c>
      <c r="C83" s="222">
        <f>C79-C81-C82-C80</f>
        <v>1281180</v>
      </c>
      <c r="D83" s="223">
        <f>C83/$C$74</f>
        <v>4.4810180002141216E-2</v>
      </c>
      <c r="E83" s="224">
        <f>E79-E81-E82-E80</f>
        <v>1281180</v>
      </c>
      <c r="F83" s="223">
        <f>E83/E74</f>
        <v>4.4810180002141216E-2</v>
      </c>
      <c r="H83" s="224">
        <f>H79-H81-H82-H80</f>
        <v>1281180</v>
      </c>
      <c r="I83" s="223">
        <f>H83/$H$74</f>
        <v>4.4810180002141216E-2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960885</v>
      </c>
      <c r="D85" s="217">
        <f>C85/$C$74</f>
        <v>3.3607635001605907E-2</v>
      </c>
      <c r="E85" s="229">
        <f>E83*(1-F84)</f>
        <v>960885</v>
      </c>
      <c r="F85" s="217">
        <f>E85/E74</f>
        <v>3.3607635001605907E-2</v>
      </c>
      <c r="G85" s="219"/>
      <c r="H85" s="229">
        <f>H83*(1-I84)</f>
        <v>960885</v>
      </c>
      <c r="I85" s="217">
        <f>H85/$H$74</f>
        <v>3.3607635001605907E-2</v>
      </c>
      <c r="K85" s="75"/>
    </row>
    <row r="86" spans="1:11" ht="15" customHeight="1" x14ac:dyDescent="0.35">
      <c r="B86" s="3" t="s">
        <v>143</v>
      </c>
      <c r="C86" s="230">
        <f>C85*Data!C4/Common_Shares</f>
        <v>0.22246137946266717</v>
      </c>
      <c r="D86" s="98"/>
      <c r="E86" s="231">
        <f>E85*Data!C4/Common_Shares</f>
        <v>0.22246137946266717</v>
      </c>
      <c r="F86" s="98"/>
      <c r="H86" s="231">
        <f>H85*Data!C4/Common_Shares</f>
        <v>0.22246137946266717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3.083197888094057E-2</v>
      </c>
      <c r="D87" s="98"/>
      <c r="E87" s="233">
        <f>E86*Exchange_Rate/Dashboard!G3</f>
        <v>3.083197888094057E-2</v>
      </c>
      <c r="F87" s="98"/>
      <c r="H87" s="233">
        <f>H86*Exchange_Rate/Dashboard!G3</f>
        <v>3.083197888094057E-2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0.42449999999999999</v>
      </c>
      <c r="D88" s="235">
        <f>C88/C86</f>
        <v>1.9081963845829624</v>
      </c>
      <c r="E88" s="255">
        <f>Inputs!E98</f>
        <v>0.42449999999999999</v>
      </c>
      <c r="F88" s="235">
        <f>E88/E86</f>
        <v>1.9081963845829624</v>
      </c>
      <c r="H88" s="255">
        <f>Inputs!F98</f>
        <v>0.42449999999999999</v>
      </c>
      <c r="I88" s="235">
        <f>H88/H86</f>
        <v>1.9081963845829624</v>
      </c>
      <c r="K88" s="75"/>
    </row>
    <row r="89" spans="1:11" ht="15" customHeight="1" x14ac:dyDescent="0.35">
      <c r="B89" s="3" t="s">
        <v>193</v>
      </c>
      <c r="C89" s="232">
        <f>C88*Exchange_Rate/Dashboard!G3</f>
        <v>5.8833470630149043E-2</v>
      </c>
      <c r="D89" s="98"/>
      <c r="E89" s="232">
        <f>E88*Exchange_Rate/Dashboard!G3</f>
        <v>5.8833470630149043E-2</v>
      </c>
      <c r="F89" s="98"/>
      <c r="H89" s="232">
        <f>H88*Exchange_Rate/Dashboard!G3</f>
        <v>5.8833470630149043E-2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4.4561818072489059</v>
      </c>
      <c r="H93" s="3" t="s">
        <v>182</v>
      </c>
      <c r="I93" s="237">
        <f>FV(H87,D93,0,-(H86/(C93-D94)))*Exchange_Rate</f>
        <v>4.4561818072489059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9.465533202443261</v>
      </c>
      <c r="H94" s="3" t="s">
        <v>183</v>
      </c>
      <c r="I94" s="237">
        <f>FV(H89,D93,0,-(H88/(C93-D94)))*Exchange_Rate</f>
        <v>9.465533202443261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11004956.437537976</v>
      </c>
      <c r="D97" s="244"/>
      <c r="E97" s="245">
        <f>PV(C94,D93,0,-F93)</f>
        <v>2.5478364112471912</v>
      </c>
      <c r="F97" s="244"/>
      <c r="H97" s="245">
        <f>PV(C94,D93,0,-I93)</f>
        <v>2.5478364112471912</v>
      </c>
      <c r="I97" s="245">
        <f>PV(C93,D93,0,-I93)</f>
        <v>3.2754266578163964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2.1656609495601122</v>
      </c>
      <c r="E100" s="251">
        <f>MAX(E97+H98+E99,0)</f>
        <v>2.5478364112471912</v>
      </c>
      <c r="F100" s="251">
        <f>(E100+H100)/2</f>
        <v>2.5478364112471912</v>
      </c>
      <c r="H100" s="251">
        <f>MAX(H97+H98+H99,0)</f>
        <v>2.5478364112471912</v>
      </c>
      <c r="I100" s="251">
        <f>MAX(I97+H98+H99,0)</f>
        <v>3.2754266578163964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4.6001569303007201</v>
      </c>
      <c r="E103" s="245">
        <f>PV(C94,D93,0,-F94)</f>
        <v>5.4119493297655534</v>
      </c>
      <c r="F103" s="251">
        <f>(E103+H103)/2</f>
        <v>5.4119493297655534</v>
      </c>
      <c r="H103" s="245">
        <f>PV(C94,D93,0,-I94)</f>
        <v>5.4119493297655534</v>
      </c>
      <c r="I103" s="251">
        <f>PV(C93,D93,0,-I94)</f>
        <v>6.9574494764318109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3.3829089399304162</v>
      </c>
      <c r="E106" s="245">
        <f>(E100+E103)/2</f>
        <v>3.9798928705063723</v>
      </c>
      <c r="F106" s="251">
        <f>(F100+F103)/2</f>
        <v>3.9798928705063723</v>
      </c>
      <c r="H106" s="245">
        <f>(H100+H103)/2</f>
        <v>3.9798928705063723</v>
      </c>
      <c r="I106" s="245">
        <f>(I100+I103)/2</f>
        <v>5.1164380671241041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