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96960F1-7F53-41F8-811F-171B5C44A37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5" i="4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44" i="4"/>
  <c r="C44" i="4"/>
  <c r="D27" i="4"/>
  <c r="C27" i="4"/>
  <c r="F96" i="4" l="1"/>
  <c r="F97" i="4"/>
  <c r="D5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<sst xmlns="http://schemas.openxmlformats.org/spreadsheetml/2006/main" count="405" uniqueCount="288">
  <si>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</si>
  <si>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</si>
  <si>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</si>
  <si>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</si>
  <si>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</si>
  <si>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</si>
  <si>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</si>
  <si>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</si>
  <si>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</si>
  <si>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</si>
  <si>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</si>
  <si>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</si>
  <si>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</si>
  <si>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</si>
  <si>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</si>
  <si>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</si>
  <si>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</si>
  <si>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</si>
  <si>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</si>
  <si>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</si>
  <si>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</si>
  <si>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</si>
  <si>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</si>
  <si>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</si>
  <si>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</si>
  <si>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</si>
  <si>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</si>
  <si>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</si>
  <si>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</si>
  <si>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</si>
  <si>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</si>
  <si>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</si>
  <si>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</si>
  <si>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</si>
  <si>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</si>
  <si>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</si>
  <si>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</si>
  <si>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</si>
  <si>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</si>
  <si>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</si>
  <si>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</si>
  <si>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</si>
  <si>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</si>
  <si>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</si>
  <si>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</si>
  <si>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</si>
  <si>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</si>
  <si>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</si>
  <si>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</si>
  <si>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</si>
  <si>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</si>
  <si>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</si>
  <si>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</si>
  <si>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</si>
  <si>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</si>
  <si>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</si>
  <si>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</si>
  <si>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</si>
  <si>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</si>
  <si>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</si>
  <si>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</si>
  <si>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</si>
  <si>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</si>
  <si>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</si>
  <si>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</si>
  <si>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</si>
  <si>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</si>
  <si>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</si>
  <si>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</si>
  <si>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</si>
  <si>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</si>
  <si>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</si>
  <si>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</si>
  <si>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</si>
  <si>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</si>
  <si>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</si>
  <si>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</si>
  <si>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</si>
  <si>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</si>
  <si>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</si>
  <si>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</si>
  <si>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</si>
  <si>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</si>
  <si>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</si>
  <si>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</si>
  <si>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</si>
  <si>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</si>
  <si>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</si>
  <si>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</si>
  <si>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</si>
  <si>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</si>
  <si>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</si>
  <si>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</si>
  <si>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</si>
  <si>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</si>
  <si>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</si>
  <si>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</si>
  <si>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</si>
  <si>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</si>
  <si>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</si>
  <si>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</si>
  <si>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</si>
  <si>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</si>
  <si>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</si>
  <si>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</si>
  <si>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</si>
  <si>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</si>
  <si>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</si>
  <si>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</si>
  <si>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</si>
  <si>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</si>
  <si>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</si>
  <si>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</si>
  <si>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</si>
  <si>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</si>
  <si>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</si>
  <si>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</si>
  <si>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</si>
  <si>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</si>
  <si>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</si>
  <si>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</si>
  <si>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</si>
  <si>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</si>
  <si>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</si>
  <si>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</si>
  <si>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</si>
  <si>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</si>
  <si>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</si>
  <si>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</si>
  <si>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</si>
  <si>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</si>
  <si>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</si>
  <si>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</si>
  <si>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</si>
  <si>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</si>
  <si>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</si>
  <si>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</si>
  <si>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</si>
  <si>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</si>
  <si>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</si>
  <si>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</si>
  <si>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</si>
  <si>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</si>
  <si>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</si>
  <si>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</si>
  <si>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</si>
  <si>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</si>
  <si>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</si>
  <si>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</si>
  <si>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</si>
  <si>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</si>
  <si>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</si>
  <si>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</si>
  <si>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</si>
  <si>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</si>
  <si>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</si>
  <si>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</si>
  <si>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</si>
  <si>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</si>
  <si>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</si>
  <si>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</si>
  <si>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</si>
  <si>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</si>
  <si>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</si>
  <si>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</si>
  <si>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</si>
  <si>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</si>
  <si>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</si>
  <si>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</si>
  <si>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</si>
  <si>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</si>
  <si>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</si>
  <si>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</si>
  <si>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</si>
  <si>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</si>
  <si>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</si>
  <si>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</si>
  <si>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</si>
  <si>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</si>
  <si>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</si>
  <si>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</si>
  <si>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</si>
  <si>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</si>
  <si>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</si>
  <si>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</si>
  <si>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</si>
  <si>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</si>
  <si>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</si>
  <si>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</si>
  <si>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</si>
  <si>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</si>
  <si>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</si>
  <si>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</si>
  <si>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</si>
  <si>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</si>
  <si>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</si>
  <si>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</si>
  <si>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</si>
  <si>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</si>
  <si>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</si>
  <si>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</si>
  <si>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</si>
  <si>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</si>
  <si>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</si>
  <si>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</si>
  <si>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</si>
  <si>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</si>
  <si>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</si>
  <si>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</si>
  <si>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</si>
  <si>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</si>
  <si>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</si>
  <si>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</si>
  <si>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</si>
  <si>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</si>
  <si>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</si>
  <si>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</si>
  <si>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</si>
  <si>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</si>
  <si>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</si>
  <si>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</si>
  <si>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</si>
  <si>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</si>
  <si>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</si>
  <si>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</si>
  <si>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</si>
  <si>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</si>
  <si>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</si>
  <si>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</si>
  <si>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</si>
  <si>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</si>
  <si>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</si>
  <si>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</si>
  <si>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</si>
  <si>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</si>
  <si>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</si>
  <si>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</si>
  <si>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</si>
  <si>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</si>
  <si>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</si>
  <si>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</si>
  <si>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</si>
  <si>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</si>
  <si>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</si>
  <si>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</si>
  <si>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</si>
  <si>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</si>
  <si>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</si>
  <si>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</si>
  <si>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</si>
  <si>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</si>
  <si>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</si>
  <si>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</si>
  <si>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</si>
  <si>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</si>
  <si>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</si>
  <si>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</si>
  <si>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</si>
  <si>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</si>
  <si>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</si>
  <si>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</si>
  <si>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</si>
  <si>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</si>
  <si>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</si>
  <si>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</si>
  <si>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</si>
  <si>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</si>
  <si>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</si>
  <si>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</si>
  <si>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</si>
  <si>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</si>
  <si>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</si>
  <si>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</si>
  <si>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</si>
  <si>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</si>
  <si>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</si>
  <si>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</si>
  <si>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</si>
  <si>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</si>
  <si>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</si>
  <si>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</si>
  <si>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</si>
  <si>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</si>
  <si>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Unclear</t>
  </si>
  <si>
    <t>0322.HK</t>
  </si>
  <si>
    <t>康师傅控股</t>
  </si>
  <si>
    <t>C0002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</si>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</sst>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284</v>
      </c>
      <c r="D4" s="66"/>
    </row>
    <row r="5" spans="1:5" x14ac:dyDescent="0.35">
      <c r="B5" s="46" t="s">
        <v>168</v>
      </c>
      <c r="C5" s="67" t="s">
        <v>285</v>
      </c>
    </row>
    <row r="6" spans="1:5" x14ac:dyDescent="0.35">
      <c r="B6" s="46" t="s">
        <v>268</v>
      </c>
      <c r="C6" s="68">
        <v>45624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63</v>
      </c>
    </row>
    <row r="9" spans="1:5" x14ac:dyDescent="0.35">
      <c r="B9" s="39" t="s">
        <v>189</v>
      </c>
      <c r="C9" s="119" t="s">
        <v>286</v>
      </c>
    </row>
    <row r="10" spans="1:5" x14ac:dyDescent="0.35">
      <c r="B10" s="39" t="s">
        <v>190</v>
      </c>
      <c r="C10" s="70">
        <v>5634436360</v>
      </c>
    </row>
    <row r="11" spans="1:5" x14ac:dyDescent="0.35">
      <c r="B11" s="39" t="s">
        <v>191</v>
      </c>
      <c r="C11" s="69" t="s">
        <v>287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282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214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214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283</v>
      </c>
      <c r="D22" s="75"/>
    </row>
    <row r="24" spans="2:13" x14ac:dyDescent="0.35">
      <c r="B24" s="76" t="s">
        <v>278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80418075</v>
      </c>
      <c r="D25" s="77">
        <v>78717420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55950986</v>
      </c>
      <c r="D26" s="78">
        <v>55818003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f>17883440+2615681</f>
        <v>20499121</v>
      </c>
      <c r="D27" s="78">
        <f>16809780+2396714</f>
        <v>19206494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519122</v>
      </c>
      <c r="D29" s="78">
        <v>446021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>
        <v>443522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399206</v>
      </c>
      <c r="D31" s="78">
        <v>443522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0.2766+0.2766</f>
        <v>0.55320000000000003</v>
      </c>
      <c r="D44" s="81">
        <f>0.2336+0.2336</f>
        <v>0.4672</v>
      </c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5.876550110990178E-2</v>
      </c>
      <c r="D45" s="82">
        <f>IF(D44="","",D44*Exchange_Rate/Dashboard!$G$3)</f>
        <v>4.9629866447118781E-2</v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277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274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80418075</v>
      </c>
      <c r="D91" s="98"/>
      <c r="E91" s="99">
        <f>C91</f>
        <v>80418075</v>
      </c>
      <c r="F91" s="99">
        <f>C91</f>
        <v>80418075</v>
      </c>
    </row>
    <row r="92" spans="2:8" x14ac:dyDescent="0.35">
      <c r="B92" s="100" t="s">
        <v>97</v>
      </c>
      <c r="C92" s="97">
        <f>C26</f>
        <v>55950986</v>
      </c>
      <c r="D92" s="101">
        <f>C92/C91</f>
        <v>0.69575137181535374</v>
      </c>
      <c r="E92" s="102">
        <f>E91*D92</f>
        <v>55950986</v>
      </c>
      <c r="F92" s="102">
        <f>F91*D92</f>
        <v>55950986</v>
      </c>
    </row>
    <row r="93" spans="2:8" x14ac:dyDescent="0.35">
      <c r="B93" s="100" t="s">
        <v>216</v>
      </c>
      <c r="C93" s="97">
        <f>C27+C28</f>
        <v>20499121</v>
      </c>
      <c r="D93" s="101">
        <f>C93/C91</f>
        <v>0.25490688505040687</v>
      </c>
      <c r="E93" s="102">
        <f>E91*D93</f>
        <v>20499121</v>
      </c>
      <c r="F93" s="102">
        <f>F91*D93</f>
        <v>20499121</v>
      </c>
    </row>
    <row r="94" spans="2:8" x14ac:dyDescent="0.35">
      <c r="B94" s="100" t="s">
        <v>222</v>
      </c>
      <c r="C94" s="97">
        <f>C29</f>
        <v>519122</v>
      </c>
      <c r="D94" s="101">
        <f>C94/C91</f>
        <v>6.4552900576145354E-3</v>
      </c>
      <c r="E94" s="103"/>
      <c r="F94" s="102">
        <f>F91*D94</f>
        <v>519122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532274.66666666663</v>
      </c>
      <c r="D97" s="101">
        <f>C97/C91</f>
        <v>6.6188436699916855E-3</v>
      </c>
      <c r="E97" s="103"/>
      <c r="F97" s="102">
        <f>F91*D97</f>
        <v>532274.66666666663</v>
      </c>
    </row>
    <row r="98" spans="2:6" x14ac:dyDescent="0.35">
      <c r="B98" s="8" t="s">
        <v>180</v>
      </c>
      <c r="C98" s="104">
        <f>C44</f>
        <v>0.55320000000000003</v>
      </c>
      <c r="D98" s="105"/>
      <c r="E98" s="106">
        <f>F98</f>
        <v>0.27660000000000001</v>
      </c>
      <c r="F98" s="106">
        <v>0.27660000000000001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0322.HK : 康师傅控股</v>
      </c>
      <c r="D2" s="3"/>
      <c r="E2" s="7"/>
      <c r="F2" s="7"/>
      <c r="G2" s="312" t="str">
        <f>IF(Inputs!D4="","",Inputs!D4)</f>
        <v/>
      </c>
      <c r="H2" s="312"/>
    </row>
    <row r="3" spans="1:10" ht="15.75" customHeight="1" x14ac:dyDescent="0.35">
      <c r="B3" s="9" t="s">
        <v>167</v>
      </c>
      <c r="C3" s="317" t="str">
        <f>Inputs!C4</f>
        <v>0322.HK</v>
      </c>
      <c r="D3" s="318"/>
      <c r="E3" s="3"/>
      <c r="F3" s="9" t="s">
        <v>1</v>
      </c>
      <c r="G3" s="10">
        <v>10.02</v>
      </c>
      <c r="H3" s="11" t="s">
        <v>256</v>
      </c>
    </row>
    <row r="4" spans="1:10" ht="15.75" customHeight="1" x14ac:dyDescent="0.35">
      <c r="B4" s="12" t="s">
        <v>168</v>
      </c>
      <c r="C4" s="312" t="str">
        <f>Inputs!C5</f>
        <v>康师傅控股</v>
      </c>
      <c r="D4" s="319"/>
      <c r="E4" s="3"/>
      <c r="F4" s="9" t="s">
        <v>2</v>
      </c>
      <c r="G4" s="322">
        <f>Inputs!C10</f>
        <v>5634436360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45624</v>
      </c>
      <c r="D5" s="321"/>
      <c r="E5" s="16"/>
      <c r="F5" s="12" t="s">
        <v>91</v>
      </c>
      <c r="G5" s="315">
        <f>G3*G4/1000000</f>
        <v>56457.052327199999</v>
      </c>
      <c r="H5" s="315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6" t="str">
        <f>Inputs!C11</f>
        <v>CNY</v>
      </c>
      <c r="H6" s="316"/>
      <c r="I6" s="17"/>
    </row>
    <row r="7" spans="1:10" ht="15.75" customHeight="1" x14ac:dyDescent="0.35">
      <c r="B7" s="8" t="s">
        <v>165</v>
      </c>
      <c r="C7" s="123" t="str">
        <f>Inputs!C8</f>
        <v>N</v>
      </c>
      <c r="D7" s="123" t="str">
        <f>Inputs!C9</f>
        <v>C0002</v>
      </c>
      <c r="E7" s="3"/>
      <c r="F7" s="12" t="s">
        <v>5</v>
      </c>
      <c r="G7" s="21">
        <v>1.0644076665242512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4.2722899464247725E-2</v>
      </c>
      <c r="F21" s="3"/>
      <c r="G21" s="34"/>
    </row>
    <row r="22" spans="1:8" ht="15.75" customHeight="1" x14ac:dyDescent="0.35">
      <c r="B22" s="35" t="s">
        <v>244</v>
      </c>
      <c r="C22" s="36" t="e">
        <f>Data!C50</f>
        <v>#DIV/0!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239</v>
      </c>
      <c r="C24" s="42">
        <f>Fin_Analysis!I81</f>
        <v>6.4552900576145354E-3</v>
      </c>
      <c r="F24" s="39" t="s">
        <v>224</v>
      </c>
      <c r="G24" s="43">
        <f>G3/(Fin_Analysis!H86*G7)</f>
        <v>24.248023224179054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0.71247361784670915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166</v>
      </c>
      <c r="G26" s="47">
        <f>Fin_Analysis!H88*Exchange_Rate/G3</f>
        <v>2.938275055495089E-2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3" t="s">
        <v>223</v>
      </c>
      <c r="H28" s="313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3.9343397699090663</v>
      </c>
      <c r="D29" s="54">
        <f>G29*(1+G20)</f>
        <v>6.8430090918745368</v>
      </c>
      <c r="E29" s="3"/>
      <c r="F29" s="55">
        <f>IF(Fin_Analysis!C108="Profit",Fin_Analysis!F100,IF(Fin_Analysis!C108="Dividend",Fin_Analysis!F103,Fin_Analysis!F106))</f>
        <v>4.6286350234224312</v>
      </c>
      <c r="G29" s="314">
        <f>IF(Fin_Analysis!C108="Profit",Fin_Analysis!I100,IF(Fin_Analysis!C108="Dividend",Fin_Analysis!I103,Fin_Analysis!I106))</f>
        <v>5.9504426885865538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unclear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unclear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3435693.3333333335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80418075</v>
      </c>
      <c r="D6" s="142">
        <f>IF(Inputs!D25="","",Inputs!D25)</f>
        <v>78717420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2.1604557161553295E-2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55950986</v>
      </c>
      <c r="D8" s="144">
        <f>IF(Inputs!D26="","",Inputs!D26)</f>
        <v>55818003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24467089</v>
      </c>
      <c r="D9" s="273">
        <f t="shared" si="2"/>
        <v>22899417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20499121</v>
      </c>
      <c r="D10" s="144">
        <f>IF(Inputs!D27="","",Inputs!D27)</f>
        <v>19206494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532274.66666666663</v>
      </c>
      <c r="D12" s="144">
        <f>IF(Inputs!D31="","",MAX(Inputs!D31,0)/(1-Fin_Analysis!$I$84))</f>
        <v>591362.66666666663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4.2722899464247725E-2</v>
      </c>
      <c r="D13" s="292">
        <f t="shared" si="3"/>
        <v>3.9401193958507955E-2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3435693.3333333335</v>
      </c>
      <c r="D14" s="294">
        <f t="shared" ref="D14:M14" si="4">IF(D6="","",D9-D10-MAX(D11,0)-MAX(D12,0))</f>
        <v>3101560.3333333335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0.1077306143004795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>
        <f t="shared" ref="D16:M16" si="6">IF(D17="","",D17-D14)</f>
        <v>-2658038.3333333335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>
        <f>IF(Inputs!D30="","",Inputs!D30)</f>
        <v>443522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519122</v>
      </c>
      <c r="D19" s="144">
        <f>IF(Inputs!D29="","",Inputs!D29)</f>
        <v>446021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2916571.3333333335</v>
      </c>
      <c r="D24" s="309">
        <f t="shared" si="9"/>
        <v>2655539.3333333335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2.7200707054974894E-2</v>
      </c>
      <c r="D25" s="143">
        <f t="shared" si="10"/>
        <v>2.5301318310483246E-2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2187428.5</v>
      </c>
      <c r="D26" s="276">
        <f>IF(D6="","",D24*(1-Fin_Analysis!$I$84))</f>
        <v>1991654.5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9.8297169514089913E-2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0.69575137181535374</v>
      </c>
      <c r="D42" s="150">
        <f t="shared" si="35"/>
        <v>0.70909340016479194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0.25490688505040687</v>
      </c>
      <c r="D43" s="146">
        <f t="shared" si="36"/>
        <v>0.24399293066261571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6.4552900576145354E-3</v>
      </c>
      <c r="D45" s="146">
        <f t="shared" si="38"/>
        <v>5.6661028778636291E-3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6.6188436699916855E-3</v>
      </c>
      <c r="D46" s="146">
        <f t="shared" si="39"/>
        <v>7.5124752140843364E-3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3.6267609406633192E-2</v>
      </c>
      <c r="D48" s="281">
        <f t="shared" si="41"/>
        <v>3.3735091080644326E-2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 t="e">
        <f t="shared" ref="C50:M50" si="42">IF(C6="","",C6/C29)</f>
        <v>#DIV/0!</v>
      </c>
      <c r="D50" s="153" t="e">
        <f t="shared" si="42"/>
        <v>#VALUE!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0.17799050346102741</v>
      </c>
      <c r="D57" s="146">
        <f t="shared" si="48"/>
        <v>0.16795872476877891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0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0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0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0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80418075</v>
      </c>
      <c r="D74" s="98"/>
      <c r="E74" s="256">
        <f>Inputs!E91</f>
        <v>80418075</v>
      </c>
      <c r="F74" s="98"/>
      <c r="H74" s="256">
        <f>Inputs!F91</f>
        <v>80418075</v>
      </c>
      <c r="I74" s="98"/>
      <c r="K74" s="75"/>
    </row>
    <row r="75" spans="1:11" ht="15" customHeight="1" x14ac:dyDescent="0.35">
      <c r="B75" s="100" t="s">
        <v>97</v>
      </c>
      <c r="C75" s="97">
        <f>Data!C8</f>
        <v>55950986</v>
      </c>
      <c r="D75" s="101">
        <f>C75/$C$74</f>
        <v>0.69575137181535374</v>
      </c>
      <c r="E75" s="256">
        <f>Inputs!E92</f>
        <v>55950986</v>
      </c>
      <c r="F75" s="211">
        <f>E75/E74</f>
        <v>0.69575137181535374</v>
      </c>
      <c r="H75" s="256">
        <f>Inputs!F92</f>
        <v>55950986</v>
      </c>
      <c r="I75" s="211">
        <f>H75/$H$74</f>
        <v>0.69575137181535374</v>
      </c>
      <c r="K75" s="75"/>
    </row>
    <row r="76" spans="1:11" ht="15" customHeight="1" x14ac:dyDescent="0.35">
      <c r="B76" s="12" t="s">
        <v>87</v>
      </c>
      <c r="C76" s="145">
        <f>C74-C75</f>
        <v>24467089</v>
      </c>
      <c r="D76" s="212"/>
      <c r="E76" s="213">
        <f>E74-E75</f>
        <v>24467089</v>
      </c>
      <c r="F76" s="212"/>
      <c r="H76" s="213">
        <f>H74-H75</f>
        <v>24467089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20499121</v>
      </c>
      <c r="D77" s="101">
        <f>C77/$C$74</f>
        <v>0.25490688505040687</v>
      </c>
      <c r="E77" s="256">
        <f>Inputs!E93</f>
        <v>20499121</v>
      </c>
      <c r="F77" s="211">
        <f>E77/E74</f>
        <v>0.25490688505040687</v>
      </c>
      <c r="H77" s="256">
        <f>Inputs!F93</f>
        <v>20499121</v>
      </c>
      <c r="I77" s="211">
        <f>H77/$H$74</f>
        <v>0.25490688505040687</v>
      </c>
      <c r="K77" s="75"/>
    </row>
    <row r="78" spans="1:11" ht="15" customHeight="1" x14ac:dyDescent="0.35">
      <c r="B78" s="93" t="s">
        <v>150</v>
      </c>
      <c r="C78" s="97">
        <f>MAX(Data!C12,0)</f>
        <v>532274.66666666663</v>
      </c>
      <c r="D78" s="101">
        <f>C78/$C$74</f>
        <v>6.6188436699916855E-3</v>
      </c>
      <c r="E78" s="214">
        <f>E74*F78</f>
        <v>532274.66666666663</v>
      </c>
      <c r="F78" s="211">
        <f>I78</f>
        <v>6.6188436699916855E-3</v>
      </c>
      <c r="H78" s="256">
        <f>Inputs!F97</f>
        <v>532274.66666666663</v>
      </c>
      <c r="I78" s="211">
        <f>H78/$H$74</f>
        <v>6.6188436699916855E-3</v>
      </c>
      <c r="K78" s="75"/>
    </row>
    <row r="79" spans="1:11" ht="15" customHeight="1" x14ac:dyDescent="0.35">
      <c r="B79" s="215" t="s">
        <v>203</v>
      </c>
      <c r="C79" s="216">
        <f>C76-C77-C78</f>
        <v>3435693.3333333335</v>
      </c>
      <c r="D79" s="217">
        <f>C79/C74</f>
        <v>4.2722899464247725E-2</v>
      </c>
      <c r="E79" s="218">
        <f>E76-E77-E78</f>
        <v>3435693.3333333335</v>
      </c>
      <c r="F79" s="217">
        <f>E79/E74</f>
        <v>4.2722899464247725E-2</v>
      </c>
      <c r="G79" s="219"/>
      <c r="H79" s="218">
        <f>H76-H77-H78</f>
        <v>3435693.3333333335</v>
      </c>
      <c r="I79" s="217">
        <f>H79/H74</f>
        <v>4.2722899464247725E-2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519122</v>
      </c>
      <c r="D81" s="101">
        <f>C81/$C$74</f>
        <v>6.4552900576145354E-3</v>
      </c>
      <c r="E81" s="214">
        <f>E74*F81</f>
        <v>519122</v>
      </c>
      <c r="F81" s="211">
        <f>I81</f>
        <v>6.4552900576145354E-3</v>
      </c>
      <c r="H81" s="256">
        <f>Inputs!F94</f>
        <v>519122</v>
      </c>
      <c r="I81" s="211">
        <f>H81/$H$74</f>
        <v>6.4552900576145354E-3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2916571.3333333335</v>
      </c>
      <c r="D83" s="223">
        <f>C83/$C$74</f>
        <v>3.6267609406633192E-2</v>
      </c>
      <c r="E83" s="224">
        <f>E79-E81-E82-E80</f>
        <v>2916571.3333333335</v>
      </c>
      <c r="F83" s="223">
        <f>E83/E74</f>
        <v>3.6267609406633192E-2</v>
      </c>
      <c r="H83" s="224">
        <f>H79-H81-H82-H80</f>
        <v>2916571.3333333335</v>
      </c>
      <c r="I83" s="223">
        <f>H83/$H$74</f>
        <v>3.6267609406633192E-2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2187428.5</v>
      </c>
      <c r="D85" s="217">
        <f>C85/$C$74</f>
        <v>2.7200707054974894E-2</v>
      </c>
      <c r="E85" s="229">
        <f>E83*(1-F84)</f>
        <v>2187428.5</v>
      </c>
      <c r="F85" s="217">
        <f>E85/E74</f>
        <v>2.7200707054974894E-2</v>
      </c>
      <c r="G85" s="219"/>
      <c r="H85" s="229">
        <f>H83*(1-I84)</f>
        <v>2187428.5</v>
      </c>
      <c r="I85" s="217">
        <f>H85/$H$74</f>
        <v>2.7200707054974894E-2</v>
      </c>
      <c r="K85" s="75"/>
    </row>
    <row r="86" spans="1:11" ht="15" customHeight="1" x14ac:dyDescent="0.35">
      <c r="B86" s="3" t="s">
        <v>143</v>
      </c>
      <c r="C86" s="230">
        <f>C85*Data!C4/Common_Shares</f>
        <v>0.38822490134576654</v>
      </c>
      <c r="D86" s="98"/>
      <c r="E86" s="231">
        <f>E85*Data!C4/Common_Shares</f>
        <v>0.38822490134576654</v>
      </c>
      <c r="F86" s="98"/>
      <c r="H86" s="231">
        <f>H85*Data!C4/Common_Shares</f>
        <v>0.38822490134576654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4.1240475182440617E-2</v>
      </c>
      <c r="D87" s="98"/>
      <c r="E87" s="233">
        <f>E86*Exchange_Rate/Dashboard!G3</f>
        <v>4.1240475182440617E-2</v>
      </c>
      <c r="F87" s="98"/>
      <c r="H87" s="233">
        <f>H86*Exchange_Rate/Dashboard!G3</f>
        <v>4.1240475182440617E-2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0.55320000000000003</v>
      </c>
      <c r="D88" s="235">
        <f>C88/C86</f>
        <v>1.4249472356934183</v>
      </c>
      <c r="E88" s="255">
        <f>Inputs!E98</f>
        <v>0.27660000000000001</v>
      </c>
      <c r="F88" s="235">
        <f>E88/E86</f>
        <v>0.71247361784670915</v>
      </c>
      <c r="H88" s="255">
        <f>Inputs!F98</f>
        <v>0.27660000000000001</v>
      </c>
      <c r="I88" s="235">
        <f>H88/H86</f>
        <v>0.71247361784670915</v>
      </c>
      <c r="K88" s="75"/>
    </row>
    <row r="89" spans="1:11" ht="15" customHeight="1" x14ac:dyDescent="0.35">
      <c r="B89" s="3" t="s">
        <v>193</v>
      </c>
      <c r="C89" s="232">
        <f>C88*Exchange_Rate/Dashboard!G3</f>
        <v>5.876550110990178E-2</v>
      </c>
      <c r="D89" s="98"/>
      <c r="E89" s="232">
        <f>E88*Exchange_Rate/Dashboard!G3</f>
        <v>2.938275055495089E-2</v>
      </c>
      <c r="F89" s="98"/>
      <c r="H89" s="232">
        <f>H88*Exchange_Rate/Dashboard!G3</f>
        <v>2.938275055495089E-2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8.0955115849347266</v>
      </c>
      <c r="H93" s="3" t="s">
        <v>182</v>
      </c>
      <c r="I93" s="237">
        <f>FV(H87,D93,0,-(H86/(C93-D94)))*Exchange_Rate</f>
        <v>8.0955115849347266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5.5095542690290111</v>
      </c>
      <c r="H94" s="3" t="s">
        <v>183</v>
      </c>
      <c r="I94" s="237">
        <f>FV(H89,D93,0,-(H88/(C93-D94)))*Exchange_Rate</f>
        <v>5.5095542690290111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26079749.473140799</v>
      </c>
      <c r="D97" s="244"/>
      <c r="E97" s="245">
        <f>PV(C94,D93,0,-F93)</f>
        <v>4.6286350234224312</v>
      </c>
      <c r="F97" s="244"/>
      <c r="H97" s="245">
        <f>PV(C94,D93,0,-I93)</f>
        <v>4.6286350234224312</v>
      </c>
      <c r="I97" s="245">
        <f>PV(C93,D93,0,-I93)</f>
        <v>5.9504426885865538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3.9343397699090663</v>
      </c>
      <c r="E100" s="251">
        <f>MAX(E97+H98+E99,0)</f>
        <v>4.6286350234224312</v>
      </c>
      <c r="F100" s="251">
        <f>(E100+H100)/2</f>
        <v>4.6286350234224312</v>
      </c>
      <c r="H100" s="251">
        <f>MAX(H97+H98+H99,0)</f>
        <v>4.6286350234224312</v>
      </c>
      <c r="I100" s="251">
        <f>MAX(I97+H98+H99,0)</f>
        <v>5.9504426885865538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2.6775897048250461</v>
      </c>
      <c r="E103" s="245">
        <f>PV(C94,D93,0,-F94)</f>
        <v>3.1501055350882896</v>
      </c>
      <c r="F103" s="251">
        <f>(E103+H103)/2</f>
        <v>3.1501055350882896</v>
      </c>
      <c r="H103" s="245">
        <f>PV(C94,D93,0,-I94)</f>
        <v>3.1501055350882896</v>
      </c>
      <c r="I103" s="251">
        <f>PV(C93,D93,0,-I94)</f>
        <v>4.0496868633384651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3.3059647373670562</v>
      </c>
      <c r="E106" s="245">
        <f>(E100+E103)/2</f>
        <v>3.8893702792553606</v>
      </c>
      <c r="F106" s="251">
        <f>(F100+F103)/2</f>
        <v>3.8893702792553606</v>
      </c>
      <c r="H106" s="245">
        <f>(H100+H103)/2</f>
        <v>3.8893702792553606</v>
      </c>
      <c r="I106" s="245">
        <f>(I100+I103)/2</f>
        <v>5.0000647759625094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45624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2025-01-03T05:27:57Z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