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240E836C-6F2E-4570-83D6-C25D6AD3F1E7}" xr6:coauthVersionLast="47" xr6:coauthVersionMax="47" xr10:uidLastSave="{00000000-0000-0000-0000-000000000000}"/>
  <bookViews>
    <workbookView xWindow="-98" yWindow="-98" windowWidth="17115" windowHeight="10755" activeTab="1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  <sheet name="Note" sheetId="5" r:id="rId5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E95" i="4" l="1"/>
  <c r="F95" i="4"/>
  <c r="F96" i="4"/>
  <c r="F98" i="4"/>
  <c r="F94" i="4"/>
  <c r="F93" i="4"/>
  <c r="E93" i="4"/>
  <c r="F91" i="4"/>
  <c r="F92" i="4" s="1"/>
  <c r="E91" i="4"/>
  <c r="E92" i="4" s="1"/>
  <c r="D69" i="4"/>
  <c r="D68" i="4"/>
  <c r="D67" i="4"/>
  <c r="D62" i="4"/>
  <c r="D63" i="4" s="1"/>
  <c r="D61" i="4"/>
  <c r="D60" i="4"/>
  <c r="D59" i="4"/>
  <c r="D58" i="4"/>
  <c r="D71" i="4" s="1"/>
  <c r="D55" i="4"/>
  <c r="D53" i="4"/>
  <c r="D50" i="4"/>
  <c r="D56" i="4" s="1"/>
  <c r="H44" i="4"/>
  <c r="G44" i="4"/>
  <c r="F44" i="4"/>
  <c r="E44" i="4"/>
  <c r="D44" i="4"/>
  <c r="C44" i="4"/>
  <c r="D39" i="4"/>
  <c r="F38" i="4"/>
  <c r="E38" i="4"/>
  <c r="D38" i="4"/>
  <c r="C38" i="4"/>
  <c r="F97" i="4" l="1"/>
  <c r="D17" i="2"/>
  <c r="E17" i="2"/>
  <c r="F17" i="2"/>
  <c r="G17" i="2"/>
  <c r="H17" i="2"/>
  <c r="I17" i="2"/>
  <c r="I16" i="2" s="1"/>
  <c r="J17" i="2"/>
  <c r="J16" i="2" s="1"/>
  <c r="K17" i="2"/>
  <c r="K16" i="2" s="1"/>
  <c r="L17" i="2"/>
  <c r="L16" i="2" s="1"/>
  <c r="M17" i="2"/>
  <c r="M16" i="2" s="1"/>
  <c r="C17" i="2"/>
  <c r="G2" i="1" l="1"/>
  <c r="D93" i="3" l="1"/>
  <c r="B11" i="5" l="1"/>
  <c r="B47" i="4" l="1"/>
  <c r="C49" i="3"/>
  <c r="D4" i="3"/>
  <c r="D3" i="3"/>
  <c r="I49" i="3"/>
  <c r="C36" i="2"/>
  <c r="C32" i="2"/>
  <c r="E36" i="2"/>
  <c r="F36" i="2"/>
  <c r="G36" i="2"/>
  <c r="G29" i="2" s="1"/>
  <c r="H36" i="2"/>
  <c r="H29" i="2" s="1"/>
  <c r="I36" i="2"/>
  <c r="I29" i="2" s="1"/>
  <c r="J36" i="2"/>
  <c r="J58" i="2" s="1"/>
  <c r="K36" i="2"/>
  <c r="K29" i="2" s="1"/>
  <c r="L36" i="2"/>
  <c r="L29" i="2" s="1"/>
  <c r="M36" i="2"/>
  <c r="M29" i="2" s="1"/>
  <c r="D36" i="2"/>
  <c r="D32" i="2"/>
  <c r="C38" i="2"/>
  <c r="D30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E32" i="2"/>
  <c r="F32" i="2"/>
  <c r="G32" i="2"/>
  <c r="H32" i="2"/>
  <c r="I32" i="2"/>
  <c r="J32" i="2"/>
  <c r="K32" i="2"/>
  <c r="L32" i="2"/>
  <c r="M32" i="2"/>
  <c r="D33" i="2"/>
  <c r="E33" i="2"/>
  <c r="F33" i="2"/>
  <c r="G33" i="2"/>
  <c r="H33" i="2"/>
  <c r="I33" i="2"/>
  <c r="J33" i="2"/>
  <c r="K33" i="2"/>
  <c r="L33" i="2"/>
  <c r="M33" i="2"/>
  <c r="D34" i="2"/>
  <c r="E34" i="2"/>
  <c r="F34" i="2"/>
  <c r="G34" i="2"/>
  <c r="H34" i="2"/>
  <c r="I34" i="2"/>
  <c r="J34" i="2"/>
  <c r="K34" i="2"/>
  <c r="L34" i="2"/>
  <c r="M34" i="2"/>
  <c r="D37" i="2"/>
  <c r="E37" i="2"/>
  <c r="F37" i="2"/>
  <c r="G37" i="2"/>
  <c r="H37" i="2"/>
  <c r="I37" i="2"/>
  <c r="J37" i="2"/>
  <c r="K37" i="2"/>
  <c r="L37" i="2"/>
  <c r="M37" i="2"/>
  <c r="D38" i="2"/>
  <c r="E38" i="2"/>
  <c r="F38" i="2"/>
  <c r="G38" i="2"/>
  <c r="G39" i="2" s="1"/>
  <c r="G40" i="2" s="1"/>
  <c r="H38" i="2"/>
  <c r="H39" i="2" s="1"/>
  <c r="H40" i="2" s="1"/>
  <c r="I38" i="2"/>
  <c r="I39" i="2" s="1"/>
  <c r="I40" i="2" s="1"/>
  <c r="J38" i="2"/>
  <c r="J39" i="2" s="1"/>
  <c r="J40" i="2" s="1"/>
  <c r="K38" i="2"/>
  <c r="K39" i="2" s="1"/>
  <c r="K40" i="2" s="1"/>
  <c r="L38" i="2"/>
  <c r="L39" i="2" s="1"/>
  <c r="L40" i="2" s="1"/>
  <c r="M38" i="2"/>
  <c r="M39" i="2" s="1"/>
  <c r="M40" i="2" s="1"/>
  <c r="B7" i="3"/>
  <c r="M53" i="2"/>
  <c r="D29" i="2" l="1"/>
  <c r="D58" i="2" s="1"/>
  <c r="J29" i="2"/>
  <c r="F29" i="2"/>
  <c r="F58" i="2" s="1"/>
  <c r="I3" i="3"/>
  <c r="E29" i="2"/>
  <c r="E58" i="2" s="1"/>
  <c r="G58" i="2"/>
  <c r="M58" i="2"/>
  <c r="L58" i="2"/>
  <c r="K58" i="2"/>
  <c r="I58" i="2"/>
  <c r="H58" i="2"/>
  <c r="K35" i="2"/>
  <c r="C29" i="2"/>
  <c r="C58" i="2" s="1"/>
  <c r="H35" i="2"/>
  <c r="M35" i="2"/>
  <c r="E35" i="2"/>
  <c r="F35" i="2"/>
  <c r="G35" i="2"/>
  <c r="I35" i="2"/>
  <c r="D35" i="2"/>
  <c r="L35" i="2"/>
  <c r="J35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39" i="2" l="1"/>
  <c r="D39" i="2"/>
  <c r="E39" i="2"/>
  <c r="C43" i="1"/>
  <c r="C40" i="1"/>
  <c r="C39" i="1"/>
  <c r="C37" i="1"/>
  <c r="C36" i="1"/>
  <c r="C98" i="4"/>
  <c r="C108" i="3"/>
  <c r="C93" i="4"/>
  <c r="C92" i="4"/>
  <c r="C91" i="4"/>
  <c r="I12" i="2" l="1"/>
  <c r="J12" i="2"/>
  <c r="K12" i="2"/>
  <c r="L12" i="2"/>
  <c r="M12" i="2"/>
  <c r="E88" i="3" l="1"/>
  <c r="H88" i="3"/>
  <c r="M15" i="2"/>
  <c r="M21" i="2" l="1"/>
  <c r="L21" i="2"/>
  <c r="K21" i="2"/>
  <c r="L55" i="2" l="1"/>
  <c r="J21" i="2"/>
  <c r="I21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30" i="2" s="1"/>
  <c r="C14" i="3"/>
  <c r="C15" i="3"/>
  <c r="C16" i="3"/>
  <c r="C17" i="3"/>
  <c r="C18" i="3"/>
  <c r="C31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5" i="2"/>
  <c r="F55" i="2"/>
  <c r="G55" i="2"/>
  <c r="H55" i="2"/>
  <c r="D55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3" i="2"/>
  <c r="E23" i="2"/>
  <c r="F23" i="2"/>
  <c r="G23" i="2"/>
  <c r="H23" i="2"/>
  <c r="I23" i="2"/>
  <c r="J23" i="2"/>
  <c r="K23" i="2"/>
  <c r="L23" i="2"/>
  <c r="M23" i="2"/>
  <c r="D18" i="2"/>
  <c r="E18" i="2"/>
  <c r="F18" i="2"/>
  <c r="G18" i="2"/>
  <c r="H18" i="2"/>
  <c r="I18" i="2"/>
  <c r="J18" i="2"/>
  <c r="K18" i="2"/>
  <c r="L18" i="2"/>
  <c r="M18" i="2"/>
  <c r="D19" i="2"/>
  <c r="E19" i="2"/>
  <c r="F19" i="2"/>
  <c r="G19" i="2"/>
  <c r="H19" i="2"/>
  <c r="I19" i="2"/>
  <c r="J19" i="2"/>
  <c r="K19" i="2"/>
  <c r="L19" i="2"/>
  <c r="M19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51" i="2"/>
  <c r="L51" i="2"/>
  <c r="M51" i="2"/>
  <c r="J52" i="2"/>
  <c r="K52" i="2"/>
  <c r="L52" i="2"/>
  <c r="M52" i="2"/>
  <c r="C23" i="2"/>
  <c r="C82" i="3" s="1"/>
  <c r="C18" i="2"/>
  <c r="C19" i="2"/>
  <c r="C92" i="3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B93" i="3" l="1"/>
  <c r="I62" i="3"/>
  <c r="K53" i="2"/>
  <c r="L50" i="2"/>
  <c r="H53" i="2"/>
  <c r="I50" i="2"/>
  <c r="M55" i="2"/>
  <c r="G53" i="2"/>
  <c r="H50" i="2"/>
  <c r="K55" i="2"/>
  <c r="E53" i="2"/>
  <c r="F50" i="2"/>
  <c r="F53" i="2"/>
  <c r="G50" i="2"/>
  <c r="J55" i="2"/>
  <c r="I53" i="2"/>
  <c r="J50" i="2"/>
  <c r="D53" i="2"/>
  <c r="E50" i="2"/>
  <c r="I55" i="2"/>
  <c r="J53" i="2"/>
  <c r="K50" i="2"/>
  <c r="C53" i="2"/>
  <c r="D50" i="2"/>
  <c r="L53" i="2"/>
  <c r="M50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4" i="2"/>
  <c r="L61" i="2" s="1"/>
  <c r="L47" i="2"/>
  <c r="K24" i="2"/>
  <c r="K61" i="2" s="1"/>
  <c r="K47" i="2"/>
  <c r="I24" i="2"/>
  <c r="I61" i="2" s="1"/>
  <c r="I47" i="2"/>
  <c r="J24" i="2"/>
  <c r="J61" i="2" s="1"/>
  <c r="J47" i="2"/>
  <c r="F47" i="2"/>
  <c r="C47" i="2"/>
  <c r="M24" i="2"/>
  <c r="M61" i="2" s="1"/>
  <c r="M47" i="2"/>
  <c r="L46" i="2"/>
  <c r="L14" i="2"/>
  <c r="I14" i="2"/>
  <c r="I60" i="2" s="1"/>
  <c r="I46" i="2"/>
  <c r="K46" i="2"/>
  <c r="K14" i="2"/>
  <c r="J14" i="2"/>
  <c r="J60" i="2" s="1"/>
  <c r="J46" i="2"/>
  <c r="H46" i="2"/>
  <c r="F46" i="2"/>
  <c r="G46" i="2"/>
  <c r="E46" i="2"/>
  <c r="D46" i="2"/>
  <c r="C46" i="2"/>
  <c r="M46" i="2"/>
  <c r="M14" i="2"/>
  <c r="I52" i="2"/>
  <c r="I51" i="2"/>
  <c r="J51" i="2"/>
  <c r="H52" i="2"/>
  <c r="G52" i="2"/>
  <c r="H51" i="2"/>
  <c r="G51" i="2"/>
  <c r="D43" i="2"/>
  <c r="D22" i="2"/>
  <c r="G22" i="2"/>
  <c r="G43" i="2"/>
  <c r="E43" i="2"/>
  <c r="E22" i="2"/>
  <c r="C22" i="2"/>
  <c r="C43" i="2"/>
  <c r="M43" i="2"/>
  <c r="M22" i="2"/>
  <c r="K43" i="2"/>
  <c r="K22" i="2"/>
  <c r="H22" i="2"/>
  <c r="H43" i="2"/>
  <c r="L43" i="2"/>
  <c r="L22" i="2"/>
  <c r="J22" i="2"/>
  <c r="J43" i="2"/>
  <c r="F43" i="2"/>
  <c r="F22" i="2"/>
  <c r="I22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M45" i="2"/>
  <c r="L20" i="2"/>
  <c r="L45" i="2"/>
  <c r="C45" i="2"/>
  <c r="G45" i="2"/>
  <c r="H20" i="2"/>
  <c r="D20" i="2"/>
  <c r="F7" i="2"/>
  <c r="E52" i="2"/>
  <c r="E51" i="2"/>
  <c r="F52" i="2"/>
  <c r="F51" i="2"/>
  <c r="G20" i="2"/>
  <c r="D52" i="2"/>
  <c r="D51" i="2"/>
  <c r="E20" i="2"/>
  <c r="F20" i="2"/>
  <c r="J20" i="2"/>
  <c r="F9" i="2"/>
  <c r="F14" i="2" s="1"/>
  <c r="E9" i="2"/>
  <c r="E14" i="2" s="1"/>
  <c r="L7" i="2"/>
  <c r="C7" i="2"/>
  <c r="M20" i="2"/>
  <c r="E7" i="2"/>
  <c r="C20" i="2"/>
  <c r="D9" i="2"/>
  <c r="D14" i="2" s="1"/>
  <c r="H7" i="2"/>
  <c r="H9" i="2"/>
  <c r="H14" i="2" s="1"/>
  <c r="K20" i="2"/>
  <c r="I20" i="2"/>
  <c r="G7" i="2"/>
  <c r="G9" i="2"/>
  <c r="G14" i="2" s="1"/>
  <c r="G16" i="2" s="1"/>
  <c r="K7" i="2"/>
  <c r="C9" i="2"/>
  <c r="C14" i="2" s="1"/>
  <c r="C16" i="2" s="1"/>
  <c r="M9" i="2"/>
  <c r="L9" i="2"/>
  <c r="I9" i="2"/>
  <c r="D7" i="2"/>
  <c r="K9" i="2"/>
  <c r="J9" i="2"/>
  <c r="E102" i="3"/>
  <c r="H102" i="3"/>
  <c r="C93" i="3"/>
  <c r="I94" i="3" s="1"/>
  <c r="H60" i="2" l="1"/>
  <c r="H16" i="2"/>
  <c r="E40" i="2"/>
  <c r="E16" i="2"/>
  <c r="F40" i="2"/>
  <c r="F16" i="2"/>
  <c r="D40" i="2"/>
  <c r="D16" i="2"/>
  <c r="J15" i="2"/>
  <c r="K60" i="2"/>
  <c r="E24" i="2"/>
  <c r="E61" i="2" s="1"/>
  <c r="E60" i="2"/>
  <c r="F24" i="2"/>
  <c r="F61" i="2" s="1"/>
  <c r="F60" i="2"/>
  <c r="K15" i="2"/>
  <c r="L60" i="2"/>
  <c r="L15" i="2"/>
  <c r="M60" i="2"/>
  <c r="D24" i="2"/>
  <c r="D61" i="2" s="1"/>
  <c r="D60" i="2"/>
  <c r="G24" i="2"/>
  <c r="G61" i="2" s="1"/>
  <c r="G60" i="2"/>
  <c r="H103" i="3"/>
  <c r="I103" i="3"/>
  <c r="D93" i="4"/>
  <c r="D97" i="4"/>
  <c r="D92" i="4"/>
  <c r="C24" i="2"/>
  <c r="F3" i="2"/>
  <c r="H24" i="2"/>
  <c r="H61" i="2" s="1"/>
  <c r="M13" i="2"/>
  <c r="F15" i="2"/>
  <c r="H15" i="2"/>
  <c r="G15" i="2"/>
  <c r="C15" i="2"/>
  <c r="H74" i="3" s="1"/>
  <c r="D15" i="2"/>
  <c r="E15" i="2"/>
  <c r="K13" i="2"/>
  <c r="E13" i="2"/>
  <c r="L13" i="2"/>
  <c r="G13" i="2"/>
  <c r="D13" i="2"/>
  <c r="K56" i="2"/>
  <c r="L26" i="2"/>
  <c r="L25" i="2" s="1"/>
  <c r="M57" i="2"/>
  <c r="M56" i="2"/>
  <c r="H75" i="3" l="1"/>
  <c r="E57" i="2"/>
  <c r="D56" i="2"/>
  <c r="G57" i="2"/>
  <c r="G59" i="2"/>
  <c r="E59" i="2"/>
  <c r="M59" i="2"/>
  <c r="K59" i="2"/>
  <c r="L59" i="2"/>
  <c r="D59" i="2"/>
  <c r="H77" i="3"/>
  <c r="E74" i="3"/>
  <c r="H78" i="3"/>
  <c r="I15" i="2"/>
  <c r="J57" i="2"/>
  <c r="J13" i="2"/>
  <c r="J59" i="2" s="1"/>
  <c r="H13" i="2"/>
  <c r="H59" i="2" s="1"/>
  <c r="H57" i="2"/>
  <c r="F13" i="2"/>
  <c r="F59" i="2" s="1"/>
  <c r="F57" i="2"/>
  <c r="I13" i="2"/>
  <c r="I59" i="2" s="1"/>
  <c r="I57" i="2"/>
  <c r="C13" i="2"/>
  <c r="K57" i="2"/>
  <c r="L57" i="2"/>
  <c r="L56" i="2"/>
  <c r="D57" i="2"/>
  <c r="G56" i="2"/>
  <c r="G3" i="2"/>
  <c r="C57" i="2"/>
  <c r="D48" i="2"/>
  <c r="E56" i="2"/>
  <c r="E89" i="3"/>
  <c r="C21" i="1" l="1"/>
  <c r="F94" i="3"/>
  <c r="E103" i="3" s="1"/>
  <c r="E77" i="3"/>
  <c r="E75" i="3"/>
  <c r="J56" i="2"/>
  <c r="H56" i="2"/>
  <c r="I56" i="2"/>
  <c r="F56" i="2"/>
  <c r="G26" i="1"/>
  <c r="C78" i="3"/>
  <c r="C96" i="3"/>
  <c r="B96" i="3"/>
  <c r="C80" i="3"/>
  <c r="G33" i="3"/>
  <c r="C44" i="2"/>
  <c r="E44" i="2"/>
  <c r="F44" i="2"/>
  <c r="G44" i="2"/>
  <c r="H44" i="2"/>
  <c r="I44" i="2"/>
  <c r="J44" i="2"/>
  <c r="K44" i="2"/>
  <c r="L44" i="2"/>
  <c r="M44" i="2"/>
  <c r="I34" i="3"/>
  <c r="C34" i="2" s="1"/>
  <c r="E9" i="3"/>
  <c r="E6" i="1" s="1"/>
  <c r="C51" i="2" l="1"/>
  <c r="C52" i="2"/>
  <c r="I15" i="3"/>
  <c r="C62" i="3"/>
  <c r="D56" i="3" l="1"/>
  <c r="C33" i="2"/>
  <c r="C35" i="2" s="1"/>
  <c r="F103" i="3"/>
  <c r="C28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C25" i="3"/>
  <c r="M27" i="2"/>
  <c r="D103" i="3" l="1"/>
  <c r="D77" i="3"/>
  <c r="E26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6" i="2"/>
  <c r="J48" i="2"/>
  <c r="D26" i="2"/>
  <c r="L48" i="2"/>
  <c r="I77" i="3"/>
  <c r="F77" i="3" s="1"/>
  <c r="F4" i="2"/>
  <c r="I75" i="3"/>
  <c r="I78" i="3"/>
  <c r="F78" i="3" s="1"/>
  <c r="E78" i="3" s="1"/>
  <c r="C26" i="2"/>
  <c r="E48" i="2"/>
  <c r="C47" i="3"/>
  <c r="C45" i="3"/>
  <c r="C27" i="3"/>
  <c r="C26" i="3"/>
  <c r="C44" i="3"/>
  <c r="C46" i="3"/>
  <c r="D96" i="4" l="1"/>
  <c r="H80" i="3"/>
  <c r="I80" i="3" s="1"/>
  <c r="G48" i="2"/>
  <c r="K48" i="2"/>
  <c r="M26" i="2"/>
  <c r="L27" i="2" s="1"/>
  <c r="K26" i="2"/>
  <c r="K25" i="2" s="1"/>
  <c r="J26" i="2"/>
  <c r="J25" i="2" s="1"/>
  <c r="H26" i="2"/>
  <c r="H25" i="2" s="1"/>
  <c r="I48" i="2"/>
  <c r="H48" i="2"/>
  <c r="I26" i="2"/>
  <c r="I25" i="2" s="1"/>
  <c r="F26" i="2"/>
  <c r="F48" i="2"/>
  <c r="M48" i="2"/>
  <c r="M25" i="2"/>
  <c r="E76" i="3"/>
  <c r="E79" i="3" s="1"/>
  <c r="H76" i="3"/>
  <c r="H79" i="3" s="1"/>
  <c r="D83" i="3"/>
  <c r="D85" i="3"/>
  <c r="C86" i="3"/>
  <c r="C87" i="3" s="1"/>
  <c r="C48" i="2"/>
  <c r="F80" i="3" l="1"/>
  <c r="E80" i="3" s="1"/>
  <c r="C25" i="1"/>
  <c r="C56" i="2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5" i="2"/>
  <c r="K27" i="2"/>
  <c r="J27" i="2"/>
  <c r="I27" i="2"/>
  <c r="H27" i="2"/>
  <c r="G27" i="2"/>
  <c r="G5" i="1"/>
  <c r="C2" i="1"/>
  <c r="C61" i="3" l="1"/>
  <c r="E61" i="3"/>
  <c r="E63" i="3" s="1"/>
  <c r="D27" i="2"/>
  <c r="E25" i="2"/>
  <c r="D25" i="2"/>
  <c r="C27" i="2"/>
  <c r="F25" i="2"/>
  <c r="E27" i="2"/>
  <c r="F27" i="2"/>
  <c r="G25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E65" i="3"/>
  <c r="C63" i="3"/>
  <c r="F5" i="2"/>
  <c r="G5" i="2" s="1"/>
  <c r="H5" i="2" s="1"/>
  <c r="I5" i="2" s="1"/>
  <c r="J5" i="2" s="1"/>
  <c r="K5" i="2" s="1"/>
  <c r="L5" i="2" s="1"/>
  <c r="M5" i="2" s="1"/>
  <c r="D28" i="2"/>
  <c r="E28" i="2" s="1"/>
  <c r="F28" i="2" s="1"/>
  <c r="G28" i="2" s="1"/>
  <c r="H28" i="2" s="1"/>
  <c r="I28" i="2" s="1"/>
  <c r="J28" i="2" s="1"/>
  <c r="K28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H81" i="3" l="1"/>
  <c r="I81" i="3" s="1"/>
  <c r="C24" i="1" s="1"/>
  <c r="J47" i="3"/>
  <c r="J26" i="3"/>
  <c r="C34" i="1"/>
  <c r="L28" i="2"/>
  <c r="M28" i="2" s="1"/>
  <c r="C65" i="3"/>
  <c r="D65" i="3" s="1"/>
  <c r="C68" i="3"/>
  <c r="C39" i="2" s="1"/>
  <c r="C40" i="2" s="1"/>
  <c r="D63" i="3"/>
  <c r="E3" i="3"/>
  <c r="F27" i="3"/>
  <c r="F26" i="3"/>
  <c r="F24" i="3"/>
  <c r="F25" i="3"/>
  <c r="D28" i="3"/>
  <c r="E49" i="3"/>
  <c r="E68" i="3" s="1"/>
  <c r="E70" i="3" s="1"/>
  <c r="C99" i="3" s="1"/>
  <c r="I61" i="3" s="1"/>
  <c r="D44" i="3"/>
  <c r="D45" i="3"/>
  <c r="D25" i="3"/>
  <c r="I63" i="3" l="1"/>
  <c r="I64" i="3" s="1"/>
  <c r="H99" i="3" s="1"/>
  <c r="E99" i="3" s="1"/>
  <c r="F81" i="3"/>
  <c r="E81" i="3" s="1"/>
  <c r="C70" i="3"/>
  <c r="D70" i="3" s="1"/>
  <c r="D49" i="3"/>
  <c r="D68" i="3"/>
  <c r="J28" i="3"/>
  <c r="G23" i="1" l="1"/>
  <c r="C50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I97" i="3"/>
  <c r="C97" i="3" l="1"/>
  <c r="C53" i="3"/>
  <c r="E53" i="3" s="1"/>
  <c r="C37" i="2"/>
  <c r="C55" i="2" l="1"/>
  <c r="C23" i="1" s="1"/>
  <c r="C20" i="1" s="1"/>
  <c r="C60" i="2"/>
  <c r="C61" i="2"/>
  <c r="D52" i="3"/>
  <c r="C98" i="3"/>
  <c r="D6" i="3"/>
  <c r="D53" i="3"/>
  <c r="C59" i="2" l="1"/>
  <c r="D7" i="3"/>
  <c r="E6" i="3"/>
  <c r="H98" i="3"/>
  <c r="H100" i="3" s="1"/>
  <c r="H106" i="3" s="1"/>
  <c r="I100" i="3" l="1"/>
  <c r="E100" i="3"/>
  <c r="F100" i="3" l="1"/>
  <c r="E106" i="3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<sst xmlns="http://schemas.openxmlformats.org/spreadsheetml/2006/main" count="406" uniqueCount="291">
  <si>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</si>
  <si>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</si>
  <si>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</si>
  <si>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</si>
  <si>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</si>
  <si>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</si>
  <si>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</si>
  <si>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</si>
  <si>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</si>
  <si>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</si>
  <si>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</si>
  <si>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</si>
  <si>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</si>
  <si>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</si>
  <si>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</si>
  <si>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</si>
  <si>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</si>
  <si>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</si>
  <si>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</si>
  <si>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</si>
  <si>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</si>
  <si>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</si>
  <si>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</si>
  <si>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</si>
  <si>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</si>
  <si>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</si>
  <si>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</si>
  <si>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</si>
  <si>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Book Figure</t>
  </si>
  <si>
    <t>Ajusted Valuation</t>
  </si>
  <si>
    <t>is_OP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</si>
  <si>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</si>
  <si>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</si>
  <si>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</si>
  <si>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</si>
  <si>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</si>
  <si>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</si>
  <si>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</si>
  <si>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</si>
  <si>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</si>
  <si>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</si>
  <si>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</si>
  <si>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</si>
  <si>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</si>
  <si>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</si>
  <si>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</si>
  <si>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</si>
  <si>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</si>
  <si>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</si>
  <si>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</si>
  <si>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</si>
  <si>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</si>
  <si>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</si>
  <si>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</si>
  <si>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</si>
  <si>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</si>
  <si>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</si>
  <si>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</si>
  <si>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</si>
  <si>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</si>
  <si>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</si>
  <si>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</si>
  <si>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</si>
  <si>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</si>
  <si>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</si>
  <si>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</si>
  <si>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</si>
  <si>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</si>
  <si>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</si>
  <si>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</si>
  <si>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</si>
  <si>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</si>
  <si>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</si>
  <si>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</si>
  <si>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</si>
  <si>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</si>
  <si>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</si>
  <si>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</si>
  <si>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</si>
  <si>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</si>
  <si>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</si>
  <si>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</si>
  <si>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</si>
  <si>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</si>
  <si>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</si>
  <si>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</si>
  <si>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</si>
  <si>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</si>
  <si>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3" type="noConversion"/>
  </si>
  <si>
    <t>Tax Rate</t>
    <phoneticPr fontId="3" type="noConversion"/>
  </si>
  <si>
    <t>COGS/Sales</t>
    <phoneticPr fontId="3" type="noConversion"/>
  </si>
  <si>
    <t>D&amp;A/Sales</t>
    <phoneticPr fontId="3" type="noConversion"/>
  </si>
  <si>
    <t>Capitalization:</t>
    <phoneticPr fontId="3" type="noConversion"/>
  </si>
  <si>
    <t>Base Year</t>
    <phoneticPr fontId="3" type="noConversion"/>
  </si>
  <si>
    <t>Normalized Year</t>
    <phoneticPr fontId="3" type="noConversion"/>
  </si>
  <si>
    <t>Gross Profit</t>
    <phoneticPr fontId="3" type="noConversion"/>
  </si>
  <si>
    <t>- Operating Expenses</t>
    <phoneticPr fontId="3" type="noConversion"/>
  </si>
  <si>
    <t>+ D&amp;A</t>
    <phoneticPr fontId="3" type="noConversion"/>
  </si>
  <si>
    <t>- COGS</t>
    <phoneticPr fontId="3" type="noConversion"/>
  </si>
  <si>
    <t>- R&amp;D</t>
    <phoneticPr fontId="3" type="noConversion"/>
  </si>
  <si>
    <t>- CAPX</t>
    <phoneticPr fontId="3" type="noConversion"/>
  </si>
  <si>
    <t>ΔWC</t>
    <phoneticPr fontId="3" type="noConversion"/>
  </si>
  <si>
    <t>- ΔWC</t>
    <phoneticPr fontId="3" type="noConversion"/>
  </si>
  <si>
    <t>- Non-controling Interests</t>
    <phoneticPr fontId="3" type="noConversion"/>
  </si>
  <si>
    <t>After-tax Profit Margin</t>
    <phoneticPr fontId="3" type="noConversion"/>
  </si>
  <si>
    <t>Valuation</t>
    <phoneticPr fontId="3" type="noConversion"/>
  </si>
  <si>
    <t>ST AR</t>
    <phoneticPr fontId="3" type="noConversion"/>
  </si>
  <si>
    <t>Prepayments and Contract Assets</t>
    <phoneticPr fontId="3" type="noConversion"/>
  </si>
  <si>
    <t>PP&amp;E &amp; Right of Use Assets</t>
    <phoneticPr fontId="3" type="noConversion"/>
  </si>
  <si>
    <t>Properties under development</t>
    <phoneticPr fontId="3" type="noConversion"/>
  </si>
  <si>
    <t>Pre-tax Profit / Total Debt</t>
    <phoneticPr fontId="3" type="noConversion"/>
  </si>
  <si>
    <t>Interest/Sales</t>
    <phoneticPr fontId="3" type="noConversion"/>
  </si>
  <si>
    <t>Interest / Pre-tax Profit</t>
    <phoneticPr fontId="3" type="noConversion"/>
  </si>
  <si>
    <t>Pre-tax Profit/Sales</t>
    <phoneticPr fontId="3" type="noConversion"/>
  </si>
  <si>
    <t>Pre-tax Profit =</t>
    <phoneticPr fontId="3" type="noConversion"/>
  </si>
  <si>
    <t>Sales</t>
    <phoneticPr fontId="3" type="noConversion"/>
  </si>
  <si>
    <t>Normalized FCFE Analysis</t>
    <phoneticPr fontId="3" type="noConversion"/>
  </si>
  <si>
    <t>After-tax Profit Growth</t>
    <phoneticPr fontId="3" type="noConversion"/>
  </si>
  <si>
    <t>Pre-tax Minority Interests/Sales</t>
    <phoneticPr fontId="3" type="noConversion"/>
  </si>
  <si>
    <t>Operating Equity Valuation</t>
    <phoneticPr fontId="3" type="noConversion"/>
  </si>
  <si>
    <t>https://pages.stern.nyu.edu/~adamodar/New_Home_Page/datafile/wcdata.html</t>
    <phoneticPr fontId="3" type="noConversion"/>
  </si>
  <si>
    <t>Note:</t>
    <phoneticPr fontId="3" type="noConversion"/>
  </si>
  <si>
    <t>Income Statement</t>
    <phoneticPr fontId="3" type="noConversion"/>
  </si>
  <si>
    <t>Balance Sheet</t>
    <phoneticPr fontId="3" type="noConversion"/>
  </si>
  <si>
    <t>Restricted cash</t>
    <phoneticPr fontId="3" type="noConversion"/>
  </si>
  <si>
    <t>Non-Operating Assets</t>
    <phoneticPr fontId="3" type="noConversion"/>
  </si>
  <si>
    <t>Total Equity</t>
    <phoneticPr fontId="3" type="noConversion"/>
  </si>
  <si>
    <t>Non-common Interest</t>
    <phoneticPr fontId="3" type="noConversion"/>
  </si>
  <si>
    <t>Non-operating Cash</t>
    <phoneticPr fontId="3" type="noConversion"/>
  </si>
  <si>
    <t>Operating Assets</t>
    <phoneticPr fontId="3" type="noConversion"/>
  </si>
  <si>
    <t>Non-operating Assets</t>
    <phoneticPr fontId="3" type="noConversion"/>
  </si>
  <si>
    <t>Net Non-operating Assets</t>
    <phoneticPr fontId="3" type="noConversion"/>
  </si>
  <si>
    <t>Net Operating Assets</t>
    <phoneticPr fontId="3" type="noConversion"/>
  </si>
  <si>
    <t>- Noncommon Interest</t>
    <phoneticPr fontId="3" type="noConversion"/>
  </si>
  <si>
    <t>+ Net Non-Operating Valuation</t>
    <phoneticPr fontId="3" type="noConversion"/>
  </si>
  <si>
    <t>ST Inventory</t>
    <phoneticPr fontId="3" type="noConversion"/>
  </si>
  <si>
    <t>2. Total Debt + PS + Options</t>
    <phoneticPr fontId="3" type="noConversion"/>
  </si>
  <si>
    <t xml:space="preserve"> - (Total Debt + PS + Options)</t>
    <phoneticPr fontId="3" type="noConversion"/>
  </si>
  <si>
    <t>- Non-intreset-bearing Debt</t>
    <phoneticPr fontId="3" type="noConversion"/>
  </si>
  <si>
    <t>3. Non-operating Assets</t>
    <phoneticPr fontId="3" type="noConversion"/>
  </si>
  <si>
    <t>4. Operating Assets</t>
    <phoneticPr fontId="3" type="noConversion"/>
  </si>
  <si>
    <t>Adj. Pre-tax ROA</t>
  </si>
  <si>
    <t>Operating ST Financial Assets</t>
  </si>
  <si>
    <t>Operating LT Financial Assets</t>
  </si>
  <si>
    <t>EPS</t>
  </si>
  <si>
    <t>Operating Equity Valuation</t>
  </si>
  <si>
    <t>Last Revision:</t>
  </si>
  <si>
    <t>After-tax Profit =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</si>
  <si>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</si>
  <si>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</si>
  <si>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</si>
  <si>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</si>
  <si>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</si>
  <si>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</si>
  <si>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</si>
  <si>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</si>
  <si>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</si>
  <si>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</si>
  <si>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</si>
  <si>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</si>
  <si>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</si>
  <si>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Notes</t>
  </si>
  <si>
    <t>CN Onshore BBB- Bond yield</t>
  </si>
  <si>
    <t>CN Offshore BBB- Bond yield</t>
  </si>
  <si>
    <t>PB Ratio</t>
  </si>
  <si>
    <t>HK</t>
  </si>
  <si>
    <t>Watchlist &amp; Comp_Group:</t>
  </si>
  <si>
    <t>Normalized D/P</t>
  </si>
  <si>
    <t>Symbol:</t>
  </si>
  <si>
    <t>Name:</t>
  </si>
  <si>
    <t>Valued @</t>
    <phoneticPr fontId="3" type="noConversion"/>
  </si>
  <si>
    <t>Avg of E and D method</t>
    <phoneticPr fontId="3" type="noConversion"/>
  </si>
  <si>
    <t>Avg Valuation</t>
    <phoneticPr fontId="3" type="noConversion"/>
  </si>
  <si>
    <t>CAGR Calculator</t>
    <phoneticPr fontId="3" type="noConversion"/>
  </si>
  <si>
    <t>Inputs =</t>
    <phoneticPr fontId="3" type="noConversion"/>
  </si>
  <si>
    <t>CAGR =</t>
    <phoneticPr fontId="3" type="noConversion"/>
  </si>
  <si>
    <t>Initial Value (PV)</t>
    <phoneticPr fontId="3" type="noConversion"/>
  </si>
  <si>
    <t>Final Value (FV)</t>
    <phoneticPr fontId="3" type="noConversion"/>
  </si>
  <si>
    <t># of Years</t>
    <phoneticPr fontId="3" type="noConversion"/>
  </si>
  <si>
    <t>Base Case</t>
    <phoneticPr fontId="3" type="noConversion"/>
  </si>
  <si>
    <t>Pessimistic Case</t>
    <phoneticPr fontId="3" type="noConversion"/>
  </si>
  <si>
    <t>Dividend per share</t>
    <phoneticPr fontId="3" type="noConversion"/>
  </si>
  <si>
    <t>E/P Initial Rate of Retrun</t>
    <phoneticPr fontId="3" type="noConversion"/>
  </si>
  <si>
    <t>E/P Future Value is</t>
    <phoneticPr fontId="3" type="noConversion"/>
  </si>
  <si>
    <t>D/P Future Value is</t>
    <phoneticPr fontId="3" type="noConversion"/>
  </si>
  <si>
    <t>Target Return</t>
    <phoneticPr fontId="3" type="noConversion"/>
  </si>
  <si>
    <t>Target</t>
    <phoneticPr fontId="3" type="noConversion"/>
  </si>
  <si>
    <t>Lower</t>
    <phoneticPr fontId="3" type="noConversion"/>
  </si>
  <si>
    <t>Inputs</t>
    <phoneticPr fontId="3" type="noConversion"/>
  </si>
  <si>
    <t>Watchlist</t>
    <phoneticPr fontId="3" type="noConversion"/>
  </si>
  <si>
    <t>Comp_Group:</t>
    <phoneticPr fontId="3" type="noConversion"/>
  </si>
  <si>
    <t>Number of Shares:</t>
    <phoneticPr fontId="3" type="noConversion"/>
  </si>
  <si>
    <t>Reporting Currency:</t>
    <phoneticPr fontId="3" type="noConversion"/>
  </si>
  <si>
    <t>Most Recent Quarter</t>
    <phoneticPr fontId="3" type="noConversion"/>
  </si>
  <si>
    <t>D/P Dividend Yield</t>
    <phoneticPr fontId="3" type="noConversion"/>
  </si>
  <si>
    <t>Earnings Power Checklist</t>
    <phoneticPr fontId="3" type="noConversion"/>
  </si>
  <si>
    <t>Present</t>
    <phoneticPr fontId="3" type="noConversion"/>
  </si>
  <si>
    <t>1. Consumer monopoly?</t>
    <phoneticPr fontId="3" type="noConversion"/>
  </si>
  <si>
    <t>2. Conservatively financed?</t>
    <phoneticPr fontId="3" type="noConversion"/>
  </si>
  <si>
    <t>Future</t>
    <phoneticPr fontId="3" type="noConversion"/>
  </si>
  <si>
    <t>5. Can earnings be sustained?</t>
    <phoneticPr fontId="3" type="noConversion"/>
  </si>
  <si>
    <t>Consumer Monopoly Test</t>
    <phoneticPr fontId="3" type="noConversion"/>
  </si>
  <si>
    <t>If you had access to billions of dollars and your pick of the top fifty managers in the country, could you start a business and successfully compete with the business in question?</t>
    <phoneticPr fontId="3" type="noConversion"/>
  </si>
  <si>
    <t>6. No big MCX-D&amp;A required?</t>
  </si>
  <si>
    <t>EBIT =</t>
    <phoneticPr fontId="3" type="noConversion"/>
  </si>
  <si>
    <t>EBIT</t>
    <phoneticPr fontId="3" type="noConversion"/>
  </si>
  <si>
    <t>(OPEX+R&amp;D)/Sales</t>
    <phoneticPr fontId="3" type="noConversion"/>
  </si>
  <si>
    <t>CAPX/Sales</t>
    <phoneticPr fontId="3" type="noConversion"/>
  </si>
  <si>
    <t>(CAPX-D&amp;A)/Sales</t>
    <phoneticPr fontId="3" type="noConversion"/>
  </si>
  <si>
    <t>Mid</t>
    <phoneticPr fontId="3" type="noConversion"/>
  </si>
  <si>
    <t>3. Upward earnings trend?</t>
    <phoneticPr fontId="3" type="noConversion"/>
  </si>
  <si>
    <t>4. Stable margin and ROE?</t>
    <phoneticPr fontId="3" type="noConversion"/>
  </si>
  <si>
    <t>- Pre-tax Non-controling Interests</t>
    <phoneticPr fontId="3" type="noConversion"/>
  </si>
  <si>
    <t>EBIT/Sales</t>
    <phoneticPr fontId="3" type="noConversion"/>
  </si>
  <si>
    <t>EBIT Growth</t>
    <phoneticPr fontId="3" type="noConversion"/>
  </si>
  <si>
    <t>unclear</t>
  </si>
  <si>
    <t>- (CAPX - D&amp;A)</t>
    <phoneticPr fontId="3" type="noConversion"/>
  </si>
  <si>
    <t>- (OPEX + R&amp;D) =</t>
    <phoneticPr fontId="3" type="noConversion"/>
  </si>
  <si>
    <t>Valuation method</t>
    <phoneticPr fontId="3" type="noConversion"/>
  </si>
  <si>
    <t>Dividend Yield</t>
    <phoneticPr fontId="3" type="noConversion"/>
  </si>
  <si>
    <t>Discount Rate (US)</t>
    <phoneticPr fontId="3" type="noConversion"/>
  </si>
  <si>
    <t>Discount Rate (CN)</t>
    <phoneticPr fontId="3" type="noConversion"/>
  </si>
  <si>
    <t>Choice of Discount Rate</t>
    <phoneticPr fontId="3" type="noConversion"/>
  </si>
  <si>
    <t>- Interest Expense</t>
    <phoneticPr fontId="3" type="noConversion"/>
  </si>
  <si>
    <t>Base Case Valuation</t>
    <phoneticPr fontId="3" type="noConversion"/>
  </si>
  <si>
    <t>Normalized PE Ratio</t>
    <phoneticPr fontId="3" type="noConversion"/>
  </si>
  <si>
    <t>LT AR or Prepayments</t>
    <phoneticPr fontId="3" type="noConversion"/>
  </si>
  <si>
    <t>Prepayments or Contract Assets</t>
    <phoneticPr fontId="3" type="noConversion"/>
  </si>
  <si>
    <t>ΔWC/Δsales</t>
    <phoneticPr fontId="3" type="noConversion"/>
  </si>
  <si>
    <t>Profibility Analysis</t>
    <phoneticPr fontId="3" type="noConversion"/>
  </si>
  <si>
    <t>Asset Turnover</t>
    <phoneticPr fontId="3" type="noConversion"/>
  </si>
  <si>
    <t>Leverage Analysis</t>
    <phoneticPr fontId="3" type="noConversion"/>
  </si>
  <si>
    <t>Common_Equity / Total Assets</t>
    <phoneticPr fontId="3" type="noConversion"/>
  </si>
  <si>
    <t>ROE</t>
    <phoneticPr fontId="3" type="noConversion"/>
  </si>
  <si>
    <t>EBIT ROE</t>
    <phoneticPr fontId="3" type="noConversion"/>
  </si>
  <si>
    <t>Pre-tax ROE</t>
    <phoneticPr fontId="3" type="noConversion"/>
  </si>
  <si>
    <t>Sales/Total_Assets</t>
    <phoneticPr fontId="3" type="noConversion"/>
  </si>
  <si>
    <t>ST_AR / Sales</t>
    <phoneticPr fontId="3" type="noConversion"/>
  </si>
  <si>
    <t>ST_Inventory / Sales</t>
    <phoneticPr fontId="3" type="noConversion"/>
  </si>
  <si>
    <t>EBIT Margin</t>
    <phoneticPr fontId="3" type="noConversion"/>
  </si>
  <si>
    <t>Interest Expense</t>
    <phoneticPr fontId="3" type="noConversion"/>
  </si>
  <si>
    <t>Normalized ΔWC</t>
    <phoneticPr fontId="3" type="noConversion"/>
  </si>
  <si>
    <t>Normalized CAPX-D&amp;A</t>
    <phoneticPr fontId="3" type="noConversion"/>
  </si>
  <si>
    <t>ROE &amp; Cost Structure</t>
    <phoneticPr fontId="3" type="noConversion"/>
  </si>
  <si>
    <t>Total Liabilities</t>
    <phoneticPr fontId="3" type="noConversion"/>
  </si>
  <si>
    <t>Asset Turnover Ratio</t>
    <phoneticPr fontId="3" type="noConversion"/>
  </si>
  <si>
    <t># In general, the higher the accounts receivable, the higher the inventory, and the lower the fixed assets, the lower the asset turnover ratio.</t>
    <phoneticPr fontId="3" type="noConversion"/>
  </si>
  <si>
    <t>PlaceHolder_3</t>
    <phoneticPr fontId="3" type="noConversion"/>
  </si>
  <si>
    <t>PlaceHolder_4</t>
    <phoneticPr fontId="3" type="noConversion"/>
  </si>
  <si>
    <t>Contingent Liabilities</t>
    <phoneticPr fontId="3" type="noConversion"/>
  </si>
  <si>
    <t>Contin. Liabilities / Total Assets</t>
    <phoneticPr fontId="3" type="noConversion"/>
  </si>
  <si>
    <t>Leverage Ratio</t>
    <phoneticPr fontId="3" type="noConversion"/>
  </si>
  <si>
    <t>https://pages.stern.nyu.edu/~adamodar/New_Home_Page/datafile/countrytaxrates.html</t>
    <phoneticPr fontId="3" type="noConversion"/>
  </si>
  <si>
    <t>Nonop Assets Valuation</t>
  </si>
  <si>
    <t>Nonop Assets per share</t>
  </si>
  <si>
    <t>Net Nonop Assets FV</t>
  </si>
  <si>
    <t>Net Nonop Assets PV</t>
  </si>
  <si>
    <t>HKD</t>
    <phoneticPr fontId="3" type="noConversion"/>
  </si>
  <si>
    <t>Market Yields</t>
    <phoneticPr fontId="3" type="noConversion"/>
  </si>
  <si>
    <t>Price Indicators</t>
    <phoneticPr fontId="3" type="noConversion"/>
  </si>
  <si>
    <t>Balance Sheet items Adjustments</t>
    <phoneticPr fontId="3" type="noConversion"/>
  </si>
  <si>
    <t>Assets</t>
    <phoneticPr fontId="3" type="noConversion"/>
  </si>
  <si>
    <t>Asset Model Output</t>
    <phoneticPr fontId="3" type="noConversion"/>
  </si>
  <si>
    <t>Blue</t>
  </si>
  <si>
    <t>Actual number reported or independently verified</t>
  </si>
  <si>
    <t>Color code key</t>
    <phoneticPr fontId="3" type="noConversion"/>
  </si>
  <si>
    <t>Red</t>
  </si>
  <si>
    <t>An assumption that drives the model. Also used for historical estimates when company information is not available</t>
  </si>
  <si>
    <t>Data not projected; historical data not reported</t>
  </si>
  <si>
    <t>Model last updated:</t>
    <phoneticPr fontId="3" type="noConversion"/>
  </si>
  <si>
    <t>External Drivers</t>
    <phoneticPr fontId="3" type="noConversion"/>
  </si>
  <si>
    <t>Internal Drivers</t>
    <phoneticPr fontId="3" type="noConversion"/>
  </si>
  <si>
    <t>Dividend method</t>
    <phoneticPr fontId="3" type="noConversion"/>
  </si>
  <si>
    <t>Selecting the Valuation method</t>
    <phoneticPr fontId="3" type="noConversion"/>
  </si>
  <si>
    <t>Liabilities</t>
    <phoneticPr fontId="3" type="noConversion"/>
  </si>
  <si>
    <t>C0003</t>
  </si>
  <si>
    <t>Profit</t>
  </si>
  <si>
    <t>Reinvest Nonop @</t>
    <phoneticPr fontId="3" type="noConversion"/>
  </si>
  <si>
    <t>0590.HK</t>
  </si>
  <si>
    <t>Reported Net Income</t>
    <phoneticPr fontId="3" type="noConversion"/>
  </si>
  <si>
    <t>PlaceHolder_2</t>
    <phoneticPr fontId="3" type="noConversion"/>
  </si>
  <si>
    <t>Inputs from Statements</t>
    <phoneticPr fontId="3" type="noConversion"/>
  </si>
  <si>
    <t>Net Non-Operating Income</t>
    <phoneticPr fontId="3" type="noConversion"/>
  </si>
  <si>
    <t>Est. Pre-tax FCF</t>
    <phoneticPr fontId="3" type="noConversion"/>
  </si>
  <si>
    <t>Est. After-tax FCF</t>
    <phoneticPr fontId="3" type="noConversion"/>
  </si>
  <si>
    <t>HOLD</t>
  </si>
  <si>
    <t>六福珠宝</t>
  </si>
  <si>
    <t xml:space="preserve">Superior Cycl. </t>
  </si>
  <si>
    <t>Strongly agree</t>
  </si>
  <si>
    <t>agree</t>
  </si>
  <si>
    <t>Consumer Monopoly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</si>
</sst>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  <numFmt numFmtId="188" formatCode="&quot;Riskfree = &quot;0.00%"/>
    <numFmt numFmtId="189" formatCode="0_)"/>
    <numFmt numFmtId="190" formatCode="[$-13C09]d\ mmmm\ yyyy;@"/>
    <numFmt numFmtId="191" formatCode="&quot;for &quot;0&quot; Yrs&quot;"/>
  </numFmts>
  <fonts count="39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b/>
      <sz val="9"/>
      <color indexed="9"/>
      <name val="Arial"/>
      <family val="2"/>
    </font>
    <font>
      <b/>
      <sz val="9"/>
      <color indexed="9"/>
      <name val="Arial"/>
      <family val="2"/>
      <scheme val="major"/>
    </font>
    <font>
      <sz val="9"/>
      <color rgb="FF000000"/>
      <name val="Arial"/>
      <family val="2"/>
      <scheme val="major"/>
    </font>
    <font>
      <b/>
      <sz val="9"/>
      <color rgb="FF002060"/>
      <name val="Arial"/>
      <family val="2"/>
      <scheme val="major"/>
    </font>
    <font>
      <b/>
      <sz val="9"/>
      <color theme="1"/>
      <name val="Arial"/>
      <family val="2"/>
      <scheme val="major"/>
    </font>
    <font>
      <sz val="9"/>
      <color theme="1"/>
      <name val="Arial"/>
      <family val="2"/>
      <scheme val="major"/>
    </font>
    <font>
      <sz val="9"/>
      <color rgb="FF0000FF"/>
      <name val="Arial"/>
      <family val="2"/>
      <scheme val="major"/>
    </font>
    <font>
      <sz val="9"/>
      <name val="Arial"/>
      <family val="2"/>
      <scheme val="major"/>
    </font>
    <font>
      <sz val="9"/>
      <color rgb="FFC00000"/>
      <name val="Arial"/>
      <family val="2"/>
      <scheme val="major"/>
    </font>
    <font>
      <sz val="9"/>
      <color theme="0"/>
      <name val="Arial"/>
      <family val="2"/>
      <scheme val="major"/>
    </font>
    <font>
      <b/>
      <u/>
      <sz val="9"/>
      <color rgb="FF000000"/>
      <name val="Arial"/>
      <family val="2"/>
      <scheme val="major"/>
    </font>
    <font>
      <u/>
      <sz val="9"/>
      <color theme="10"/>
      <name val="Arial"/>
      <family val="2"/>
      <scheme val="major"/>
    </font>
    <font>
      <b/>
      <sz val="9"/>
      <color rgb="FF000000"/>
      <name val="Arial"/>
      <family val="2"/>
      <scheme val="major"/>
    </font>
    <font>
      <b/>
      <sz val="9"/>
      <name val="Arial"/>
      <family val="2"/>
      <scheme val="major"/>
    </font>
    <font>
      <b/>
      <sz val="9"/>
      <color indexed="12"/>
      <name val="Arial"/>
      <family val="2"/>
    </font>
    <font>
      <b/>
      <sz val="9"/>
      <color indexed="10"/>
      <name val="Arial"/>
      <family val="2"/>
    </font>
    <font>
      <b/>
      <sz val="9"/>
      <color rgb="FF0000FF"/>
      <name val="Arial"/>
      <family val="2"/>
    </font>
    <font>
      <b/>
      <sz val="9"/>
      <name val="Arial"/>
      <family val="2"/>
    </font>
    <font>
      <u/>
      <sz val="9"/>
      <color theme="1"/>
      <name val="Arial"/>
      <family val="2"/>
      <scheme val="major"/>
    </font>
    <font>
      <b/>
      <u/>
      <sz val="9"/>
      <color theme="1"/>
      <name val="Arial"/>
      <family val="2"/>
      <scheme val="major"/>
    </font>
    <font>
      <u/>
      <sz val="9"/>
      <color rgb="FF000000"/>
      <name val="Arial"/>
      <family val="2"/>
      <scheme val="major"/>
    </font>
    <font>
      <i/>
      <sz val="9"/>
      <color rgb="FF000000"/>
      <name val="Arial"/>
      <family val="2"/>
      <scheme val="major"/>
    </font>
    <font>
      <sz val="9"/>
      <color rgb="FFFF0000"/>
      <name val="Arial"/>
      <family val="2"/>
      <scheme val="major"/>
    </font>
    <font>
      <i/>
      <sz val="9"/>
      <color rgb="FFFF0000"/>
      <name val="Arial"/>
      <family val="2"/>
      <scheme val="major"/>
    </font>
    <font>
      <b/>
      <sz val="9"/>
      <color rgb="FFFFFFFF"/>
      <name val="Arial"/>
      <family val="2"/>
      <scheme val="major"/>
    </font>
    <font>
      <sz val="9"/>
      <color rgb="FFFFFFFF"/>
      <name val="Arial"/>
      <family val="2"/>
      <scheme val="major"/>
    </font>
    <font>
      <i/>
      <sz val="9"/>
      <name val="Arial"/>
      <family val="2"/>
      <scheme val="major"/>
    </font>
    <font>
      <i/>
      <sz val="9"/>
      <color theme="1"/>
      <name val="Arial"/>
      <family val="2"/>
      <scheme val="major"/>
    </font>
    <font>
      <sz val="9"/>
      <color rgb="FFA61C00"/>
      <name val="Arial"/>
      <family val="2"/>
      <scheme val="major"/>
    </font>
    <font>
      <u/>
      <sz val="9"/>
      <color rgb="FF0000FF"/>
      <name val="Arial"/>
      <family val="2"/>
      <scheme val="major"/>
    </font>
    <font>
      <sz val="9"/>
      <color rgb="FF000000"/>
      <name val="Arial"/>
      <family val="2"/>
      <scheme val="minor"/>
    </font>
    <font>
      <b/>
      <sz val="9"/>
      <color rgb="FF000000"/>
      <name val="Arial"/>
      <family val="2"/>
      <scheme val="minor"/>
    </font>
    <font>
      <sz val="9"/>
      <color rgb="FFFF0000"/>
      <name val="Arial"/>
      <family val="2"/>
      <scheme val="minor"/>
    </font>
    <font>
      <b/>
      <sz val="9"/>
      <color theme="0"/>
      <name val="Arial"/>
      <family val="2"/>
      <scheme val="major"/>
    </font>
    <font>
      <b/>
      <sz val="9"/>
      <color rgb="FF0000FF"/>
      <name val="Arial"/>
      <family val="2"/>
      <scheme val="major"/>
    </font>
  </fonts>
  <fills count="15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2F75B5"/>
        <bgColor rgb="FF1C4587"/>
      </patternFill>
    </fill>
    <fill>
      <patternFill patternType="solid">
        <fgColor theme="0" tint="-0.34998626667073579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26">
    <xf numFmtId="0" fontId="0" fillId="0" borderId="0" xfId="0"/>
    <xf numFmtId="189" fontId="4" fillId="12" borderId="0" xfId="0" applyNumberFormat="1" applyFont="1" applyFill="1" applyAlignment="1">
      <alignment horizontal="left" wrapText="1"/>
    </xf>
    <xf numFmtId="0" fontId="6" fillId="0" borderId="0" xfId="0" applyFont="1"/>
    <xf numFmtId="0" fontId="6" fillId="0" borderId="3" xfId="0" applyFont="1" applyBorder="1"/>
    <xf numFmtId="0" fontId="6" fillId="4" borderId="3" xfId="0" applyFont="1" applyFill="1" applyBorder="1"/>
    <xf numFmtId="0" fontId="7" fillId="0" borderId="1" xfId="0" applyFont="1" applyBorder="1"/>
    <xf numFmtId="0" fontId="8" fillId="0" borderId="3" xfId="0" applyFont="1" applyBorder="1"/>
    <xf numFmtId="0" fontId="6" fillId="0" borderId="1" xfId="0" applyFont="1" applyBorder="1"/>
    <xf numFmtId="0" fontId="6" fillId="0" borderId="4" xfId="0" applyFont="1" applyBorder="1"/>
    <xf numFmtId="0" fontId="9" fillId="0" borderId="3" xfId="0" applyFont="1" applyBorder="1"/>
    <xf numFmtId="4" fontId="10" fillId="0" borderId="3" xfId="0" applyNumberFormat="1" applyFont="1" applyBorder="1" applyAlignment="1">
      <alignment horizontal="right"/>
    </xf>
    <xf numFmtId="0" fontId="10" fillId="0" borderId="3" xfId="0" applyFont="1" applyBorder="1" applyAlignment="1">
      <alignment horizontal="left"/>
    </xf>
    <xf numFmtId="0" fontId="9" fillId="0" borderId="4" xfId="0" applyFont="1" applyBorder="1"/>
    <xf numFmtId="3" fontId="10" fillId="0" borderId="3" xfId="0" applyNumberFormat="1" applyFont="1" applyBorder="1" applyAlignment="1">
      <alignment horizontal="center"/>
    </xf>
    <xf numFmtId="176" fontId="6" fillId="0" borderId="0" xfId="1" applyFont="1"/>
    <xf numFmtId="0" fontId="11" fillId="0" borderId="3" xfId="0" applyFont="1" applyBorder="1"/>
    <xf numFmtId="0" fontId="12" fillId="0" borderId="3" xfId="0" applyFont="1" applyBorder="1"/>
    <xf numFmtId="182" fontId="6" fillId="0" borderId="0" xfId="1" applyNumberFormat="1" applyFont="1"/>
    <xf numFmtId="0" fontId="6" fillId="0" borderId="0" xfId="0" quotePrefix="1" applyFont="1"/>
    <xf numFmtId="177" fontId="11" fillId="0" borderId="3" xfId="0" applyNumberFormat="1" applyFont="1" applyBorder="1" applyAlignment="1">
      <alignment horizontal="center"/>
    </xf>
    <xf numFmtId="181" fontId="13" fillId="0" borderId="3" xfId="0" applyNumberFormat="1" applyFont="1" applyBorder="1" applyAlignment="1">
      <alignment horizontal="center"/>
    </xf>
    <xf numFmtId="4" fontId="10" fillId="0" borderId="4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4" fillId="0" borderId="0" xfId="0" applyFont="1"/>
    <xf numFmtId="10" fontId="10" fillId="0" borderId="14" xfId="0" applyNumberFormat="1" applyFont="1" applyBorder="1" applyAlignment="1">
      <alignment horizontal="right"/>
    </xf>
    <xf numFmtId="0" fontId="15" fillId="0" borderId="0" xfId="2" applyFont="1"/>
    <xf numFmtId="0" fontId="6" fillId="0" borderId="7" xfId="0" applyFont="1" applyBorder="1"/>
    <xf numFmtId="10" fontId="10" fillId="0" borderId="15" xfId="0" applyNumberFormat="1" applyFont="1" applyBorder="1" applyAlignment="1">
      <alignment horizontal="right"/>
    </xf>
    <xf numFmtId="0" fontId="6" fillId="0" borderId="14" xfId="0" applyFont="1" applyBorder="1" applyAlignment="1">
      <alignment horizontal="center"/>
    </xf>
    <xf numFmtId="10" fontId="10" fillId="0" borderId="14" xfId="0" applyNumberFormat="1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10" fontId="6" fillId="0" borderId="24" xfId="0" applyNumberFormat="1" applyFont="1" applyBorder="1" applyAlignment="1">
      <alignment horizontal="right"/>
    </xf>
    <xf numFmtId="0" fontId="6" fillId="0" borderId="25" xfId="0" applyFont="1" applyBorder="1" applyAlignment="1">
      <alignment horizontal="center"/>
    </xf>
    <xf numFmtId="10" fontId="6" fillId="0" borderId="26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180" fontId="6" fillId="0" borderId="28" xfId="0" applyNumberFormat="1" applyFont="1" applyBorder="1" applyAlignment="1">
      <alignment horizontal="right"/>
    </xf>
    <xf numFmtId="0" fontId="6" fillId="0" borderId="29" xfId="0" applyFont="1" applyBorder="1" applyAlignment="1">
      <alignment horizontal="center"/>
    </xf>
    <xf numFmtId="180" fontId="6" fillId="0" borderId="30" xfId="0" applyNumberFormat="1" applyFont="1" applyBorder="1" applyAlignment="1">
      <alignment horizontal="right"/>
    </xf>
    <xf numFmtId="0" fontId="6" fillId="0" borderId="14" xfId="0" applyFont="1" applyBorder="1"/>
    <xf numFmtId="179" fontId="9" fillId="0" borderId="14" xfId="0" applyNumberFormat="1" applyFont="1" applyBorder="1" applyAlignment="1">
      <alignment horizontal="right"/>
    </xf>
    <xf numFmtId="0" fontId="6" fillId="0" borderId="17" xfId="0" applyFont="1" applyBorder="1" applyAlignment="1">
      <alignment horizontal="center"/>
    </xf>
    <xf numFmtId="10" fontId="6" fillId="0" borderId="17" xfId="0" applyNumberFormat="1" applyFont="1" applyBorder="1" applyAlignment="1">
      <alignment horizontal="right"/>
    </xf>
    <xf numFmtId="180" fontId="9" fillId="0" borderId="14" xfId="0" applyNumberFormat="1" applyFont="1" applyBorder="1" applyAlignment="1">
      <alignment horizontal="right"/>
    </xf>
    <xf numFmtId="10" fontId="6" fillId="0" borderId="14" xfId="0" applyNumberFormat="1" applyFont="1" applyBorder="1" applyAlignment="1">
      <alignment horizontal="right"/>
    </xf>
    <xf numFmtId="0" fontId="6" fillId="0" borderId="14" xfId="0" quotePrefix="1" applyFont="1" applyBorder="1" applyAlignment="1">
      <alignment horizontal="center"/>
    </xf>
    <xf numFmtId="0" fontId="9" fillId="0" borderId="14" xfId="0" applyFont="1" applyBorder="1"/>
    <xf numFmtId="10" fontId="9" fillId="0" borderId="14" xfId="0" applyNumberFormat="1" applyFont="1" applyBorder="1" applyAlignment="1">
      <alignment horizontal="right"/>
    </xf>
    <xf numFmtId="0" fontId="7" fillId="0" borderId="4" xfId="0" applyFont="1" applyBorder="1"/>
    <xf numFmtId="0" fontId="16" fillId="0" borderId="4" xfId="0" applyFont="1" applyBorder="1" applyAlignment="1">
      <alignment horizontal="center"/>
    </xf>
    <xf numFmtId="10" fontId="17" fillId="0" borderId="4" xfId="0" applyNumberFormat="1" applyFont="1" applyBorder="1" applyAlignment="1">
      <alignment horizontal="center"/>
    </xf>
    <xf numFmtId="4" fontId="9" fillId="0" borderId="4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3" xfId="0" applyNumberFormat="1" applyFont="1" applyBorder="1" applyAlignment="1">
      <alignment horizontal="center"/>
    </xf>
    <xf numFmtId="39" fontId="6" fillId="0" borderId="3" xfId="1" applyNumberFormat="1" applyFont="1" applyBorder="1" applyAlignment="1">
      <alignment horizontal="center"/>
    </xf>
    <xf numFmtId="2" fontId="6" fillId="0" borderId="0" xfId="1" applyNumberFormat="1" applyFont="1" applyAlignment="1">
      <alignment horizontal="left"/>
    </xf>
    <xf numFmtId="0" fontId="9" fillId="0" borderId="0" xfId="0" quotePrefix="1" applyFont="1"/>
    <xf numFmtId="0" fontId="9" fillId="0" borderId="0" xfId="0" applyFont="1"/>
    <xf numFmtId="0" fontId="11" fillId="0" borderId="18" xfId="0" applyFont="1" applyBorder="1" applyAlignment="1">
      <alignment horizontal="center"/>
    </xf>
    <xf numFmtId="0" fontId="6" fillId="0" borderId="0" xfId="0" applyFont="1" applyAlignment="1">
      <alignment wrapText="1"/>
    </xf>
    <xf numFmtId="0" fontId="18" fillId="0" borderId="0" xfId="0" applyFont="1" applyAlignment="1">
      <alignment vertical="top" wrapText="1"/>
    </xf>
    <xf numFmtId="0" fontId="18" fillId="0" borderId="0" xfId="0" applyFont="1" applyAlignment="1">
      <alignment horizontal="left" vertical="top" wrapText="1"/>
    </xf>
    <xf numFmtId="0" fontId="4" fillId="0" borderId="0" xfId="0" applyFont="1"/>
    <xf numFmtId="0" fontId="19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21" fillId="0" borderId="0" xfId="0" applyFont="1" applyAlignment="1">
      <alignment horizontal="left" vertical="top"/>
    </xf>
    <xf numFmtId="49" fontId="10" fillId="7" borderId="14" xfId="0" applyNumberFormat="1" applyFont="1" applyFill="1" applyBorder="1" applyAlignment="1">
      <alignment horizontal="right"/>
    </xf>
    <xf numFmtId="0" fontId="10" fillId="7" borderId="14" xfId="0" applyFont="1" applyFill="1" applyBorder="1" applyAlignment="1">
      <alignment horizontal="right"/>
    </xf>
    <xf numFmtId="177" fontId="10" fillId="7" borderId="14" xfId="0" applyNumberFormat="1" applyFont="1" applyFill="1" applyBorder="1" applyAlignment="1">
      <alignment horizontal="right"/>
    </xf>
    <xf numFmtId="0" fontId="10" fillId="6" borderId="14" xfId="0" applyFont="1" applyFill="1" applyBorder="1" applyAlignment="1">
      <alignment horizontal="right"/>
    </xf>
    <xf numFmtId="3" fontId="10" fillId="6" borderId="14" xfId="0" applyNumberFormat="1" applyFont="1" applyFill="1" applyBorder="1"/>
    <xf numFmtId="0" fontId="9" fillId="0" borderId="14" xfId="0" applyFont="1" applyBorder="1" applyAlignment="1">
      <alignment horizontal="left"/>
    </xf>
    <xf numFmtId="181" fontId="10" fillId="7" borderId="14" xfId="0" applyNumberFormat="1" applyFont="1" applyFill="1" applyBorder="1" applyAlignment="1">
      <alignment horizontal="right"/>
    </xf>
    <xf numFmtId="3" fontId="10" fillId="7" borderId="14" xfId="0" applyNumberFormat="1" applyFont="1" applyFill="1" applyBorder="1" applyAlignment="1">
      <alignment horizontal="right"/>
    </xf>
    <xf numFmtId="0" fontId="6" fillId="0" borderId="14" xfId="0" quotePrefix="1" applyFont="1" applyBorder="1"/>
    <xf numFmtId="0" fontId="10" fillId="0" borderId="0" xfId="0" applyFont="1"/>
    <xf numFmtId="0" fontId="17" fillId="0" borderId="8" xfId="0" applyFont="1" applyBorder="1" applyAlignment="1">
      <alignment horizontal="center" wrapText="1"/>
    </xf>
    <xf numFmtId="3" fontId="10" fillId="7" borderId="5" xfId="0" applyNumberFormat="1" applyFont="1" applyFill="1" applyBorder="1" applyAlignment="1">
      <alignment horizontal="right"/>
    </xf>
    <xf numFmtId="3" fontId="10" fillId="7" borderId="3" xfId="0" applyNumberFormat="1" applyFont="1" applyFill="1" applyBorder="1" applyAlignment="1">
      <alignment horizontal="right"/>
    </xf>
    <xf numFmtId="3" fontId="11" fillId="9" borderId="3" xfId="0" applyNumberFormat="1" applyFont="1" applyFill="1" applyBorder="1" applyAlignment="1">
      <alignment horizontal="right"/>
    </xf>
    <xf numFmtId="0" fontId="22" fillId="0" borderId="3" xfId="0" applyFont="1" applyBorder="1" applyAlignment="1">
      <alignment horizontal="center"/>
    </xf>
    <xf numFmtId="185" fontId="10" fillId="6" borderId="3" xfId="0" applyNumberFormat="1" applyFont="1" applyFill="1" applyBorder="1" applyAlignment="1">
      <alignment horizontal="right"/>
    </xf>
    <xf numFmtId="10" fontId="11" fillId="0" borderId="3" xfId="0" applyNumberFormat="1" applyFont="1" applyBorder="1" applyAlignment="1">
      <alignment horizontal="right"/>
    </xf>
    <xf numFmtId="0" fontId="16" fillId="5" borderId="3" xfId="0" applyFont="1" applyFill="1" applyBorder="1"/>
    <xf numFmtId="0" fontId="23" fillId="0" borderId="3" xfId="0" applyFont="1" applyBorder="1" applyAlignment="1">
      <alignment horizontal="center"/>
    </xf>
    <xf numFmtId="0" fontId="24" fillId="0" borderId="3" xfId="0" applyFont="1" applyBorder="1" applyAlignment="1">
      <alignment horizontal="left"/>
    </xf>
    <xf numFmtId="3" fontId="10" fillId="6" borderId="3" xfId="0" applyNumberFormat="1" applyFont="1" applyFill="1" applyBorder="1"/>
    <xf numFmtId="0" fontId="6" fillId="0" borderId="3" xfId="0" applyFont="1" applyBorder="1" applyAlignment="1">
      <alignment horizontal="left"/>
    </xf>
    <xf numFmtId="3" fontId="10" fillId="6" borderId="4" xfId="0" applyNumberFormat="1" applyFont="1" applyFill="1" applyBorder="1"/>
    <xf numFmtId="0" fontId="9" fillId="0" borderId="19" xfId="0" applyFont="1" applyBorder="1"/>
    <xf numFmtId="3" fontId="10" fillId="6" borderId="19" xfId="0" applyNumberFormat="1" applyFont="1" applyFill="1" applyBorder="1"/>
    <xf numFmtId="0" fontId="9" fillId="0" borderId="9" xfId="0" applyFont="1" applyBorder="1"/>
    <xf numFmtId="3" fontId="10" fillId="6" borderId="9" xfId="0" applyNumberFormat="1" applyFont="1" applyFill="1" applyBorder="1"/>
    <xf numFmtId="0" fontId="6" fillId="0" borderId="3" xfId="0" quotePrefix="1" applyFont="1" applyBorder="1"/>
    <xf numFmtId="0" fontId="7" fillId="0" borderId="1" xfId="0" applyFont="1" applyBorder="1" applyAlignment="1">
      <alignment vertical="center"/>
    </xf>
    <xf numFmtId="0" fontId="16" fillId="0" borderId="3" xfId="0" applyFont="1" applyBorder="1"/>
    <xf numFmtId="0" fontId="25" fillId="0" borderId="1" xfId="0" applyFont="1" applyBorder="1" applyAlignment="1">
      <alignment horizontal="right"/>
    </xf>
    <xf numFmtId="3" fontId="9" fillId="0" borderId="3" xfId="0" applyNumberFormat="1" applyFont="1" applyBorder="1" applyAlignment="1">
      <alignment horizontal="right"/>
    </xf>
    <xf numFmtId="9" fontId="25" fillId="9" borderId="3" xfId="0" applyNumberFormat="1" applyFont="1" applyFill="1" applyBorder="1" applyAlignment="1">
      <alignment horizontal="right"/>
    </xf>
    <xf numFmtId="3" fontId="26" fillId="6" borderId="20" xfId="0" applyNumberFormat="1" applyFont="1" applyFill="1" applyBorder="1" applyAlignment="1">
      <alignment horizontal="right"/>
    </xf>
    <xf numFmtId="0" fontId="9" fillId="0" borderId="3" xfId="0" quotePrefix="1" applyFont="1" applyBorder="1"/>
    <xf numFmtId="10" fontId="25" fillId="0" borderId="0" xfId="0" applyNumberFormat="1" applyFont="1" applyAlignment="1">
      <alignment horizontal="right"/>
    </xf>
    <xf numFmtId="3" fontId="26" fillId="6" borderId="21" xfId="0" applyNumberFormat="1" applyFont="1" applyFill="1" applyBorder="1" applyAlignment="1">
      <alignment horizontal="right"/>
    </xf>
    <xf numFmtId="3" fontId="11" fillId="9" borderId="21" xfId="0" applyNumberFormat="1" applyFont="1" applyFill="1" applyBorder="1" applyAlignment="1">
      <alignment horizontal="right"/>
    </xf>
    <xf numFmtId="185" fontId="11" fillId="0" borderId="4" xfId="0" applyNumberFormat="1" applyFont="1" applyBorder="1" applyAlignment="1">
      <alignment horizontal="right"/>
    </xf>
    <xf numFmtId="9" fontId="25" fillId="9" borderId="22" xfId="0" applyNumberFormat="1" applyFont="1" applyFill="1" applyBorder="1" applyAlignment="1">
      <alignment horizontal="right"/>
    </xf>
    <xf numFmtId="185" fontId="26" fillId="6" borderId="17" xfId="0" applyNumberFormat="1" applyFont="1" applyFill="1" applyBorder="1" applyAlignment="1">
      <alignment horizontal="right"/>
    </xf>
    <xf numFmtId="3" fontId="26" fillId="6" borderId="3" xfId="0" applyNumberFormat="1" applyFont="1" applyFill="1" applyBorder="1" applyAlignment="1">
      <alignment horizontal="right"/>
    </xf>
    <xf numFmtId="187" fontId="26" fillId="6" borderId="3" xfId="0" applyNumberFormat="1" applyFont="1" applyFill="1" applyBorder="1" applyAlignment="1">
      <alignment horizontal="center"/>
    </xf>
    <xf numFmtId="10" fontId="26" fillId="6" borderId="3" xfId="0" applyNumberFormat="1" applyFont="1" applyFill="1" applyBorder="1" applyAlignment="1">
      <alignment horizontal="center"/>
    </xf>
    <xf numFmtId="10" fontId="26" fillId="6" borderId="4" xfId="0" applyNumberFormat="1" applyFont="1" applyFill="1" applyBorder="1" applyAlignment="1">
      <alignment horizontal="center"/>
    </xf>
    <xf numFmtId="10" fontId="26" fillId="6" borderId="19" xfId="0" applyNumberFormat="1" applyFont="1" applyFill="1" applyBorder="1" applyAlignment="1">
      <alignment horizontal="center"/>
    </xf>
    <xf numFmtId="0" fontId="26" fillId="0" borderId="18" xfId="0" applyFont="1" applyBorder="1" applyAlignment="1">
      <alignment horizontal="center"/>
    </xf>
    <xf numFmtId="0" fontId="26" fillId="0" borderId="18" xfId="0" applyFont="1" applyBorder="1" applyAlignment="1">
      <alignment horizontal="center" vertical="center" wrapText="1"/>
    </xf>
    <xf numFmtId="10" fontId="26" fillId="0" borderId="17" xfId="0" applyNumberFormat="1" applyFont="1" applyBorder="1" applyAlignment="1">
      <alignment horizontal="right"/>
    </xf>
    <xf numFmtId="10" fontId="26" fillId="0" borderId="16" xfId="0" applyNumberFormat="1" applyFont="1" applyBorder="1" applyAlignment="1">
      <alignment horizontal="right"/>
    </xf>
    <xf numFmtId="10" fontId="26" fillId="0" borderId="14" xfId="0" applyNumberFormat="1" applyFont="1" applyBorder="1" applyAlignment="1">
      <alignment horizontal="right"/>
    </xf>
    <xf numFmtId="10" fontId="26" fillId="6" borderId="14" xfId="0" applyNumberFormat="1" applyFont="1" applyFill="1" applyBorder="1" applyAlignment="1">
      <alignment horizontal="right"/>
    </xf>
    <xf numFmtId="0" fontId="26" fillId="7" borderId="14" xfId="0" applyFont="1" applyFill="1" applyBorder="1" applyAlignment="1">
      <alignment horizontal="right"/>
    </xf>
    <xf numFmtId="0" fontId="26" fillId="6" borderId="14" xfId="0" applyFont="1" applyFill="1" applyBorder="1" applyAlignment="1">
      <alignment horizontal="right"/>
    </xf>
    <xf numFmtId="10" fontId="27" fillId="6" borderId="14" xfId="0" applyNumberFormat="1" applyFont="1" applyFill="1" applyBorder="1" applyAlignment="1">
      <alignment horizontal="right"/>
    </xf>
    <xf numFmtId="0" fontId="26" fillId="7" borderId="18" xfId="0" applyFont="1" applyFill="1" applyBorder="1" applyAlignment="1">
      <alignment horizontal="right"/>
    </xf>
    <xf numFmtId="0" fontId="26" fillId="7" borderId="18" xfId="0" applyFont="1" applyFill="1" applyBorder="1" applyAlignment="1">
      <alignment horizontal="right" vertical="center" wrapText="1"/>
    </xf>
    <xf numFmtId="0" fontId="26" fillId="0" borderId="4" xfId="0" applyFont="1" applyBorder="1" applyAlignment="1">
      <alignment horizontal="center"/>
    </xf>
    <xf numFmtId="183" fontId="26" fillId="0" borderId="3" xfId="0" applyNumberFormat="1" applyFont="1" applyBorder="1" applyAlignment="1">
      <alignment horizontal="center"/>
    </xf>
    <xf numFmtId="183" fontId="26" fillId="6" borderId="14" xfId="0" applyNumberFormat="1" applyFont="1" applyFill="1" applyBorder="1" applyAlignment="1">
      <alignment horizontal="right"/>
    </xf>
    <xf numFmtId="0" fontId="8" fillId="3" borderId="3" xfId="0" applyFont="1" applyFill="1" applyBorder="1"/>
    <xf numFmtId="0" fontId="28" fillId="0" borderId="0" xfId="0" applyFont="1"/>
    <xf numFmtId="0" fontId="29" fillId="0" borderId="0" xfId="0" applyFont="1"/>
    <xf numFmtId="0" fontId="8" fillId="4" borderId="3" xfId="0" applyFont="1" applyFill="1" applyBorder="1"/>
    <xf numFmtId="0" fontId="29" fillId="0" borderId="3" xfId="0" applyFont="1" applyBorder="1"/>
    <xf numFmtId="0" fontId="29" fillId="0" borderId="1" xfId="0" applyFont="1" applyBorder="1"/>
    <xf numFmtId="0" fontId="11" fillId="0" borderId="1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9" fillId="3" borderId="3" xfId="0" applyFont="1" applyFill="1" applyBorder="1"/>
    <xf numFmtId="0" fontId="9" fillId="0" borderId="3" xfId="0" applyFont="1" applyBorder="1" applyAlignment="1">
      <alignment horizontal="right"/>
    </xf>
    <xf numFmtId="181" fontId="10" fillId="0" borderId="5" xfId="0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3" fontId="10" fillId="7" borderId="3" xfId="0" applyNumberFormat="1" applyFont="1" applyFill="1" applyBorder="1" applyAlignment="1">
      <alignment horizontal="center"/>
    </xf>
    <xf numFmtId="10" fontId="6" fillId="0" borderId="5" xfId="0" applyNumberFormat="1" applyFont="1" applyBorder="1" applyAlignment="1">
      <alignment horizontal="center"/>
    </xf>
    <xf numFmtId="10" fontId="11" fillId="0" borderId="4" xfId="0" applyNumberFormat="1" applyFont="1" applyBorder="1" applyAlignment="1">
      <alignment horizontal="center"/>
    </xf>
    <xf numFmtId="3" fontId="10" fillId="0" borderId="5" xfId="0" applyNumberFormat="1" applyFont="1" applyBorder="1" applyAlignment="1">
      <alignment horizontal="right"/>
    </xf>
    <xf numFmtId="10" fontId="31" fillId="0" borderId="3" xfId="0" applyNumberFormat="1" applyFont="1" applyBorder="1" applyAlignment="1">
      <alignment horizontal="right"/>
    </xf>
    <xf numFmtId="3" fontId="10" fillId="0" borderId="3" xfId="0" applyNumberFormat="1" applyFont="1" applyBorder="1" applyAlignment="1">
      <alignment horizontal="right"/>
    </xf>
    <xf numFmtId="3" fontId="9" fillId="0" borderId="4" xfId="0" applyNumberFormat="1" applyFont="1" applyBorder="1" applyAlignment="1">
      <alignment horizontal="right"/>
    </xf>
    <xf numFmtId="10" fontId="9" fillId="0" borderId="3" xfId="0" applyNumberFormat="1" applyFont="1" applyBorder="1" applyAlignment="1">
      <alignment horizontal="right"/>
    </xf>
    <xf numFmtId="3" fontId="11" fillId="0" borderId="3" xfId="0" applyNumberFormat="1" applyFont="1" applyBorder="1" applyAlignment="1">
      <alignment horizontal="right"/>
    </xf>
    <xf numFmtId="10" fontId="11" fillId="0" borderId="4" xfId="0" applyNumberFormat="1" applyFont="1" applyBorder="1" applyAlignment="1">
      <alignment horizontal="right"/>
    </xf>
    <xf numFmtId="4" fontId="9" fillId="0" borderId="3" xfId="0" applyNumberFormat="1" applyFont="1" applyBorder="1" applyAlignment="1">
      <alignment horizontal="center"/>
    </xf>
    <xf numFmtId="10" fontId="9" fillId="0" borderId="5" xfId="0" applyNumberFormat="1" applyFont="1" applyBorder="1" applyAlignment="1">
      <alignment horizontal="right"/>
    </xf>
    <xf numFmtId="0" fontId="25" fillId="0" borderId="8" xfId="0" applyFont="1" applyBorder="1"/>
    <xf numFmtId="0" fontId="6" fillId="0" borderId="8" xfId="0" applyFont="1" applyBorder="1"/>
    <xf numFmtId="180" fontId="6" fillId="0" borderId="0" xfId="0" applyNumberFormat="1" applyFont="1" applyAlignment="1">
      <alignment horizontal="right"/>
    </xf>
    <xf numFmtId="179" fontId="9" fillId="0" borderId="3" xfId="0" applyNumberFormat="1" applyFont="1" applyBorder="1" applyAlignment="1">
      <alignment horizontal="right"/>
    </xf>
    <xf numFmtId="10" fontId="6" fillId="0" borderId="8" xfId="0" applyNumberFormat="1" applyFont="1" applyBorder="1"/>
    <xf numFmtId="10" fontId="6" fillId="0" borderId="0" xfId="0" applyNumberFormat="1" applyFont="1" applyAlignment="1">
      <alignment horizontal="right"/>
    </xf>
    <xf numFmtId="0" fontId="6" fillId="4" borderId="0" xfId="0" applyFont="1" applyFill="1"/>
    <xf numFmtId="0" fontId="7" fillId="0" borderId="1" xfId="0" applyFont="1" applyBorder="1" applyAlignment="1">
      <alignment horizontal="left"/>
    </xf>
    <xf numFmtId="0" fontId="7" fillId="0" borderId="3" xfId="0" applyFont="1" applyBorder="1"/>
    <xf numFmtId="0" fontId="16" fillId="0" borderId="4" xfId="0" applyFont="1" applyBorder="1"/>
    <xf numFmtId="3" fontId="10" fillId="0" borderId="5" xfId="0" applyNumberFormat="1" applyFont="1" applyBorder="1"/>
    <xf numFmtId="0" fontId="12" fillId="0" borderId="5" xfId="0" applyFont="1" applyBorder="1"/>
    <xf numFmtId="0" fontId="16" fillId="0" borderId="0" xfId="0" applyFont="1" applyAlignment="1">
      <alignment horizontal="center"/>
    </xf>
    <xf numFmtId="3" fontId="11" fillId="0" borderId="5" xfId="0" applyNumberFormat="1" applyFont="1" applyBorder="1" applyAlignment="1">
      <alignment horizontal="center"/>
    </xf>
    <xf numFmtId="4" fontId="6" fillId="0" borderId="3" xfId="0" applyNumberFormat="1" applyFont="1" applyBorder="1"/>
    <xf numFmtId="0" fontId="16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180" fontId="31" fillId="2" borderId="3" xfId="0" applyNumberFormat="1" applyFont="1" applyFill="1" applyBorder="1" applyAlignment="1">
      <alignment horizontal="right"/>
    </xf>
    <xf numFmtId="3" fontId="9" fillId="0" borderId="7" xfId="0" applyNumberFormat="1" applyFont="1" applyBorder="1"/>
    <xf numFmtId="10" fontId="9" fillId="0" borderId="3" xfId="0" applyNumberFormat="1" applyFont="1" applyBorder="1" applyAlignment="1">
      <alignment horizontal="center"/>
    </xf>
    <xf numFmtId="4" fontId="9" fillId="2" borderId="3" xfId="0" applyNumberFormat="1" applyFont="1" applyFill="1" applyBorder="1"/>
    <xf numFmtId="0" fontId="10" fillId="0" borderId="3" xfId="0" applyFont="1" applyBorder="1"/>
    <xf numFmtId="0" fontId="7" fillId="0" borderId="4" xfId="0" applyFont="1" applyBorder="1" applyAlignment="1">
      <alignment horizontal="left"/>
    </xf>
    <xf numFmtId="181" fontId="10" fillId="0" borderId="4" xfId="0" applyNumberFormat="1" applyFont="1" applyBorder="1" applyAlignment="1">
      <alignment horizontal="center"/>
    </xf>
    <xf numFmtId="3" fontId="10" fillId="0" borderId="3" xfId="0" applyNumberFormat="1" applyFont="1" applyBorder="1"/>
    <xf numFmtId="3" fontId="9" fillId="0" borderId="3" xfId="0" applyNumberFormat="1" applyFont="1" applyBorder="1" applyAlignment="1">
      <alignment horizontal="center"/>
    </xf>
    <xf numFmtId="10" fontId="10" fillId="0" borderId="0" xfId="0" applyNumberFormat="1" applyFont="1" applyAlignment="1">
      <alignment horizontal="left"/>
    </xf>
    <xf numFmtId="3" fontId="10" fillId="0" borderId="4" xfId="0" applyNumberFormat="1" applyFont="1" applyBorder="1"/>
    <xf numFmtId="3" fontId="10" fillId="0" borderId="0" xfId="0" applyNumberFormat="1" applyFont="1" applyAlignment="1">
      <alignment horizontal="left"/>
    </xf>
    <xf numFmtId="3" fontId="6" fillId="0" borderId="0" xfId="0" applyNumberFormat="1" applyFont="1"/>
    <xf numFmtId="0" fontId="13" fillId="0" borderId="3" xfId="0" applyFont="1" applyBorder="1"/>
    <xf numFmtId="3" fontId="11" fillId="0" borderId="3" xfId="0" applyNumberFormat="1" applyFont="1" applyBorder="1"/>
    <xf numFmtId="0" fontId="31" fillId="0" borderId="3" xfId="0" applyFont="1" applyBorder="1"/>
    <xf numFmtId="3" fontId="9" fillId="0" borderId="3" xfId="0" applyNumberFormat="1" applyFont="1" applyBorder="1"/>
    <xf numFmtId="10" fontId="31" fillId="0" borderId="3" xfId="0" applyNumberFormat="1" applyFont="1" applyBorder="1" applyAlignment="1">
      <alignment horizontal="center"/>
    </xf>
    <xf numFmtId="10" fontId="6" fillId="0" borderId="3" xfId="0" applyNumberFormat="1" applyFont="1" applyBorder="1" applyAlignment="1">
      <alignment horizontal="left"/>
    </xf>
    <xf numFmtId="0" fontId="32" fillId="0" borderId="3" xfId="0" applyFont="1" applyBorder="1"/>
    <xf numFmtId="0" fontId="9" fillId="0" borderId="5" xfId="0" applyFont="1" applyBorder="1"/>
    <xf numFmtId="3" fontId="9" fillId="0" borderId="5" xfId="0" applyNumberFormat="1" applyFont="1" applyBorder="1"/>
    <xf numFmtId="10" fontId="9" fillId="0" borderId="5" xfId="0" applyNumberFormat="1" applyFont="1" applyBorder="1" applyAlignment="1">
      <alignment horizontal="center"/>
    </xf>
    <xf numFmtId="3" fontId="9" fillId="0" borderId="5" xfId="0" applyNumberFormat="1" applyFont="1" applyBorder="1" applyAlignment="1">
      <alignment horizontal="center"/>
    </xf>
    <xf numFmtId="0" fontId="13" fillId="0" borderId="0" xfId="0" applyFont="1"/>
    <xf numFmtId="10" fontId="6" fillId="0" borderId="3" xfId="0" applyNumberFormat="1" applyFont="1" applyBorder="1"/>
    <xf numFmtId="3" fontId="9" fillId="0" borderId="9" xfId="0" applyNumberFormat="1" applyFont="1" applyBorder="1"/>
    <xf numFmtId="10" fontId="9" fillId="0" borderId="9" xfId="0" applyNumberFormat="1" applyFont="1" applyBorder="1" applyAlignment="1">
      <alignment horizontal="center"/>
    </xf>
    <xf numFmtId="3" fontId="9" fillId="0" borderId="9" xfId="0" applyNumberFormat="1" applyFont="1" applyBorder="1" applyAlignment="1">
      <alignment horizontal="center"/>
    </xf>
    <xf numFmtId="3" fontId="11" fillId="0" borderId="9" xfId="0" applyNumberFormat="1" applyFont="1" applyBorder="1"/>
    <xf numFmtId="0" fontId="16" fillId="0" borderId="3" xfId="0" applyFont="1" applyBorder="1" applyAlignment="1">
      <alignment horizontal="left"/>
    </xf>
    <xf numFmtId="3" fontId="11" fillId="0" borderId="3" xfId="0" applyNumberFormat="1" applyFont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9" fillId="0" borderId="3" xfId="0" applyFont="1" applyBorder="1" applyAlignment="1">
      <alignment horizontal="left"/>
    </xf>
    <xf numFmtId="3" fontId="6" fillId="0" borderId="3" xfId="0" applyNumberFormat="1" applyFont="1" applyBorder="1"/>
    <xf numFmtId="4" fontId="6" fillId="0" borderId="0" xfId="0" applyNumberFormat="1" applyFont="1"/>
    <xf numFmtId="3" fontId="6" fillId="0" borderId="4" xfId="0" applyNumberFormat="1" applyFont="1" applyBorder="1"/>
    <xf numFmtId="10" fontId="6" fillId="0" borderId="4" xfId="0" applyNumberFormat="1" applyFont="1" applyBorder="1" applyAlignment="1">
      <alignment horizontal="center"/>
    </xf>
    <xf numFmtId="3" fontId="9" fillId="0" borderId="4" xfId="0" applyNumberFormat="1" applyFont="1" applyBorder="1"/>
    <xf numFmtId="4" fontId="9" fillId="0" borderId="3" xfId="0" applyNumberFormat="1" applyFont="1" applyBorder="1"/>
    <xf numFmtId="0" fontId="9" fillId="0" borderId="7" xfId="0" quotePrefix="1" applyFont="1" applyBorder="1"/>
    <xf numFmtId="0" fontId="6" fillId="9" borderId="7" xfId="0" applyFont="1" applyFill="1" applyBorder="1" applyAlignment="1">
      <alignment horizontal="right"/>
    </xf>
    <xf numFmtId="3" fontId="6" fillId="0" borderId="7" xfId="0" applyNumberFormat="1" applyFont="1" applyBorder="1"/>
    <xf numFmtId="10" fontId="25" fillId="0" borderId="3" xfId="0" applyNumberFormat="1" applyFont="1" applyBorder="1" applyAlignment="1">
      <alignment horizontal="right"/>
    </xf>
    <xf numFmtId="10" fontId="25" fillId="9" borderId="4" xfId="0" applyNumberFormat="1" applyFont="1" applyFill="1" applyBorder="1" applyAlignment="1">
      <alignment horizontal="right"/>
    </xf>
    <xf numFmtId="3" fontId="11" fillId="0" borderId="12" xfId="0" applyNumberFormat="1" applyFont="1" applyBorder="1" applyAlignment="1">
      <alignment horizontal="right"/>
    </xf>
    <xf numFmtId="3" fontId="11" fillId="0" borderId="11" xfId="0" applyNumberFormat="1" applyFont="1" applyBorder="1" applyAlignment="1">
      <alignment horizontal="right"/>
    </xf>
    <xf numFmtId="0" fontId="9" fillId="10" borderId="4" xfId="0" applyFont="1" applyFill="1" applyBorder="1"/>
    <xf numFmtId="3" fontId="9" fillId="10" borderId="4" xfId="0" applyNumberFormat="1" applyFont="1" applyFill="1" applyBorder="1" applyAlignment="1">
      <alignment horizontal="right"/>
    </xf>
    <xf numFmtId="10" fontId="25" fillId="10" borderId="4" xfId="0" applyNumberFormat="1" applyFont="1" applyFill="1" applyBorder="1" applyAlignment="1">
      <alignment horizontal="right"/>
    </xf>
    <xf numFmtId="3" fontId="11" fillId="10" borderId="12" xfId="0" applyNumberFormat="1" applyFont="1" applyFill="1" applyBorder="1" applyAlignment="1">
      <alignment horizontal="right"/>
    </xf>
    <xf numFmtId="0" fontId="6" fillId="10" borderId="0" xfId="0" applyFont="1" applyFill="1"/>
    <xf numFmtId="0" fontId="33" fillId="0" borderId="0" xfId="2" applyFont="1"/>
    <xf numFmtId="0" fontId="6" fillId="0" borderId="7" xfId="0" quotePrefix="1" applyFont="1" applyBorder="1"/>
    <xf numFmtId="3" fontId="9" fillId="0" borderId="7" xfId="0" applyNumberFormat="1" applyFont="1" applyBorder="1" applyAlignment="1">
      <alignment horizontal="right"/>
    </xf>
    <xf numFmtId="10" fontId="25" fillId="0" borderId="7" xfId="0" applyNumberFormat="1" applyFont="1" applyBorder="1" applyAlignment="1">
      <alignment horizontal="right"/>
    </xf>
    <xf numFmtId="3" fontId="9" fillId="0" borderId="13" xfId="0" applyNumberFormat="1" applyFont="1" applyBorder="1" applyAlignment="1">
      <alignment horizontal="right"/>
    </xf>
    <xf numFmtId="0" fontId="6" fillId="9" borderId="0" xfId="0" applyFont="1" applyFill="1" applyAlignment="1">
      <alignment horizontal="right"/>
    </xf>
    <xf numFmtId="3" fontId="10" fillId="9" borderId="11" xfId="0" applyNumberFormat="1" applyFont="1" applyFill="1" applyBorder="1" applyAlignment="1">
      <alignment horizontal="right"/>
    </xf>
    <xf numFmtId="10" fontId="30" fillId="0" borderId="3" xfId="0" applyNumberFormat="1" applyFont="1" applyBorder="1" applyAlignment="1">
      <alignment horizontal="right"/>
    </xf>
    <xf numFmtId="0" fontId="6" fillId="10" borderId="4" xfId="0" applyFont="1" applyFill="1" applyBorder="1"/>
    <xf numFmtId="3" fontId="9" fillId="10" borderId="12" xfId="0" applyNumberFormat="1" applyFont="1" applyFill="1" applyBorder="1" applyAlignment="1">
      <alignment horizontal="right"/>
    </xf>
    <xf numFmtId="185" fontId="11" fillId="0" borderId="3" xfId="0" applyNumberFormat="1" applyFont="1" applyBorder="1" applyAlignment="1">
      <alignment horizontal="right"/>
    </xf>
    <xf numFmtId="185" fontId="9" fillId="0" borderId="11" xfId="0" applyNumberFormat="1" applyFont="1" applyBorder="1" applyAlignment="1">
      <alignment horizontal="right"/>
    </xf>
    <xf numFmtId="10" fontId="25" fillId="11" borderId="3" xfId="0" applyNumberFormat="1" applyFont="1" applyFill="1" applyBorder="1" applyAlignment="1">
      <alignment horizontal="right"/>
    </xf>
    <xf numFmtId="10" fontId="25" fillId="11" borderId="11" xfId="0" applyNumberFormat="1" applyFont="1" applyFill="1" applyBorder="1" applyAlignment="1">
      <alignment horizontal="right"/>
    </xf>
    <xf numFmtId="185" fontId="10" fillId="0" borderId="4" xfId="0" applyNumberFormat="1" applyFont="1" applyBorder="1" applyAlignment="1">
      <alignment horizontal="right"/>
    </xf>
    <xf numFmtId="10" fontId="25" fillId="0" borderId="4" xfId="0" applyNumberFormat="1" applyFont="1" applyBorder="1" applyAlignment="1">
      <alignment horizontal="right"/>
    </xf>
    <xf numFmtId="10" fontId="6" fillId="0" borderId="0" xfId="0" applyNumberFormat="1" applyFont="1" applyAlignment="1">
      <alignment horizontal="center"/>
    </xf>
    <xf numFmtId="8" fontId="6" fillId="0" borderId="0" xfId="0" applyNumberFormat="1" applyFont="1" applyAlignment="1">
      <alignment horizontal="center"/>
    </xf>
    <xf numFmtId="10" fontId="11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0" fontId="16" fillId="8" borderId="4" xfId="0" quotePrefix="1" applyFont="1" applyFill="1" applyBorder="1" applyAlignment="1">
      <alignment horizontal="center"/>
    </xf>
    <xf numFmtId="0" fontId="14" fillId="0" borderId="0" xfId="0" quotePrefix="1" applyFont="1" applyAlignment="1">
      <alignment horizontal="center"/>
    </xf>
    <xf numFmtId="0" fontId="14" fillId="0" borderId="3" xfId="0" quotePrefix="1" applyFont="1" applyBorder="1" applyAlignment="1">
      <alignment horizontal="center"/>
    </xf>
    <xf numFmtId="3" fontId="6" fillId="0" borderId="0" xfId="0" applyNumberFormat="1" applyFont="1" applyAlignment="1">
      <alignment horizontal="center"/>
    </xf>
    <xf numFmtId="9" fontId="25" fillId="9" borderId="3" xfId="0" applyNumberFormat="1" applyFont="1" applyFill="1" applyBorder="1" applyAlignment="1">
      <alignment horizontal="center"/>
    </xf>
    <xf numFmtId="184" fontId="6" fillId="0" borderId="3" xfId="0" applyNumberFormat="1" applyFont="1" applyBorder="1" applyAlignment="1">
      <alignment horizontal="center"/>
    </xf>
    <xf numFmtId="0" fontId="6" fillId="9" borderId="0" xfId="0" applyFont="1" applyFill="1"/>
    <xf numFmtId="3" fontId="6" fillId="0" borderId="7" xfId="0" applyNumberFormat="1" applyFont="1" applyBorder="1" applyAlignment="1">
      <alignment horizontal="center"/>
    </xf>
    <xf numFmtId="9" fontId="25" fillId="9" borderId="7" xfId="0" applyNumberFormat="1" applyFont="1" applyFill="1" applyBorder="1" applyAlignment="1">
      <alignment horizontal="center"/>
    </xf>
    <xf numFmtId="184" fontId="6" fillId="0" borderId="7" xfId="0" applyNumberFormat="1" applyFont="1" applyBorder="1" applyAlignment="1">
      <alignment horizontal="center"/>
    </xf>
    <xf numFmtId="0" fontId="6" fillId="9" borderId="7" xfId="0" applyFont="1" applyFill="1" applyBorder="1"/>
    <xf numFmtId="184" fontId="6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86" fontId="26" fillId="0" borderId="0" xfId="0" applyNumberFormat="1" applyFont="1" applyAlignment="1">
      <alignment horizontal="right"/>
    </xf>
    <xf numFmtId="187" fontId="26" fillId="0" borderId="0" xfId="0" applyNumberFormat="1" applyFont="1" applyAlignment="1">
      <alignment horizontal="right"/>
    </xf>
    <xf numFmtId="185" fontId="26" fillId="0" borderId="12" xfId="0" applyNumberFormat="1" applyFont="1" applyBorder="1" applyAlignment="1">
      <alignment horizontal="right"/>
    </xf>
    <xf numFmtId="3" fontId="26" fillId="0" borderId="11" xfId="0" applyNumberFormat="1" applyFont="1" applyBorder="1" applyAlignment="1">
      <alignment horizontal="right"/>
    </xf>
    <xf numFmtId="10" fontId="27" fillId="0" borderId="3" xfId="0" applyNumberFormat="1" applyFont="1" applyBorder="1" applyAlignment="1">
      <alignment horizontal="right"/>
    </xf>
    <xf numFmtId="10" fontId="26" fillId="0" borderId="3" xfId="0" applyNumberFormat="1" applyFont="1" applyBorder="1" applyAlignment="1">
      <alignment horizontal="center"/>
    </xf>
    <xf numFmtId="3" fontId="26" fillId="0" borderId="3" xfId="0" applyNumberFormat="1" applyFont="1" applyBorder="1" applyAlignment="1">
      <alignment horizontal="center"/>
    </xf>
    <xf numFmtId="0" fontId="26" fillId="0" borderId="3" xfId="0" applyFont="1" applyBorder="1" applyAlignment="1">
      <alignment horizontal="left"/>
    </xf>
    <xf numFmtId="0" fontId="26" fillId="6" borderId="3" xfId="0" applyFont="1" applyFill="1" applyBorder="1" applyAlignment="1">
      <alignment horizontal="left"/>
    </xf>
    <xf numFmtId="0" fontId="26" fillId="0" borderId="19" xfId="0" applyFont="1" applyBorder="1" applyAlignment="1">
      <alignment horizontal="left"/>
    </xf>
    <xf numFmtId="0" fontId="11" fillId="0" borderId="3" xfId="0" applyFont="1" applyBorder="1" applyAlignment="1">
      <alignment horizontal="left" wrapText="1"/>
    </xf>
    <xf numFmtId="0" fontId="11" fillId="0" borderId="3" xfId="0" quotePrefix="1" applyFont="1" applyBorder="1" applyAlignment="1">
      <alignment horizontal="left" wrapText="1"/>
    </xf>
    <xf numFmtId="0" fontId="17" fillId="0" borderId="4" xfId="0" applyFont="1" applyBorder="1" applyAlignment="1">
      <alignment horizontal="left" wrapText="1"/>
    </xf>
    <xf numFmtId="0" fontId="11" fillId="0" borderId="0" xfId="0" quotePrefix="1" applyFont="1" applyAlignment="1">
      <alignment horizontal="left"/>
    </xf>
    <xf numFmtId="0" fontId="11" fillId="0" borderId="4" xfId="0" applyFont="1" applyBorder="1" applyAlignment="1">
      <alignment horizontal="left" wrapText="1"/>
    </xf>
    <xf numFmtId="0" fontId="17" fillId="0" borderId="3" xfId="0" applyFont="1" applyBorder="1" applyAlignment="1">
      <alignment horizontal="left" wrapText="1"/>
    </xf>
    <xf numFmtId="0" fontId="11" fillId="0" borderId="5" xfId="0" applyFont="1" applyBorder="1" applyAlignment="1">
      <alignment horizontal="left" wrapText="1"/>
    </xf>
    <xf numFmtId="0" fontId="17" fillId="0" borderId="8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7" fillId="0" borderId="4" xfId="0" applyFont="1" applyBorder="1" applyAlignment="1">
      <alignment horizontal="left" wrapText="1" indent="1"/>
    </xf>
    <xf numFmtId="3" fontId="17" fillId="0" borderId="4" xfId="0" applyNumberFormat="1" applyFont="1" applyBorder="1" applyAlignment="1">
      <alignment horizontal="right"/>
    </xf>
    <xf numFmtId="0" fontId="17" fillId="0" borderId="0" xfId="0" applyFont="1" applyAlignment="1">
      <alignment horizontal="left" indent="1"/>
    </xf>
    <xf numFmtId="3" fontId="16" fillId="0" borderId="0" xfId="0" applyNumberFormat="1" applyFont="1" applyAlignment="1">
      <alignment horizontal="right"/>
    </xf>
    <xf numFmtId="3" fontId="8" fillId="0" borderId="3" xfId="0" applyNumberFormat="1" applyFont="1" applyBorder="1" applyAlignment="1">
      <alignment horizontal="right"/>
    </xf>
    <xf numFmtId="0" fontId="30" fillId="0" borderId="0" xfId="0" applyFont="1" applyAlignment="1">
      <alignment horizontal="left" indent="2"/>
    </xf>
    <xf numFmtId="0" fontId="30" fillId="0" borderId="3" xfId="0" applyFont="1" applyBorder="1" applyAlignment="1">
      <alignment horizontal="left" wrapText="1" indent="2"/>
    </xf>
    <xf numFmtId="0" fontId="30" fillId="0" borderId="3" xfId="0" quotePrefix="1" applyFont="1" applyBorder="1" applyAlignment="1">
      <alignment horizontal="left" wrapText="1" indent="2"/>
    </xf>
    <xf numFmtId="0" fontId="17" fillId="0" borderId="3" xfId="0" applyFont="1" applyBorder="1" applyAlignment="1">
      <alignment horizontal="left" wrapText="1" indent="1"/>
    </xf>
    <xf numFmtId="10" fontId="8" fillId="0" borderId="3" xfId="0" applyNumberFormat="1" applyFont="1" applyBorder="1" applyAlignment="1">
      <alignment horizontal="right"/>
    </xf>
    <xf numFmtId="0" fontId="34" fillId="0" borderId="0" xfId="0" applyFont="1"/>
    <xf numFmtId="0" fontId="35" fillId="0" borderId="0" xfId="0" applyFont="1"/>
    <xf numFmtId="190" fontId="36" fillId="0" borderId="0" xfId="0" applyNumberFormat="1" applyFont="1" applyAlignment="1">
      <alignment horizontal="left"/>
    </xf>
    <xf numFmtId="189" fontId="5" fillId="0" borderId="0" xfId="0" applyNumberFormat="1" applyFont="1" applyAlignment="1">
      <alignment horizontal="left" wrapText="1"/>
    </xf>
    <xf numFmtId="181" fontId="13" fillId="13" borderId="2" xfId="0" applyNumberFormat="1" applyFont="1" applyFill="1" applyBorder="1" applyAlignment="1">
      <alignment horizontal="center"/>
    </xf>
    <xf numFmtId="181" fontId="13" fillId="13" borderId="6" xfId="0" applyNumberFormat="1" applyFont="1" applyFill="1" applyBorder="1" applyAlignment="1">
      <alignment horizontal="center"/>
    </xf>
    <xf numFmtId="181" fontId="37" fillId="12" borderId="10" xfId="0" applyNumberFormat="1" applyFont="1" applyFill="1" applyBorder="1" applyAlignment="1">
      <alignment horizontal="center"/>
    </xf>
    <xf numFmtId="181" fontId="37" fillId="12" borderId="14" xfId="0" applyNumberFormat="1" applyFont="1" applyFill="1" applyBorder="1" applyAlignment="1">
      <alignment horizontal="center"/>
    </xf>
    <xf numFmtId="0" fontId="20" fillId="14" borderId="0" xfId="0" applyFont="1" applyFill="1" applyAlignment="1">
      <alignment vertical="top" wrapText="1"/>
    </xf>
    <xf numFmtId="0" fontId="30" fillId="11" borderId="3" xfId="0" applyFont="1" applyFill="1" applyBorder="1" applyAlignment="1">
      <alignment horizontal="left" wrapText="1" indent="2"/>
    </xf>
    <xf numFmtId="10" fontId="30" fillId="11" borderId="3" xfId="0" applyNumberFormat="1" applyFont="1" applyFill="1" applyBorder="1" applyAlignment="1">
      <alignment horizontal="right"/>
    </xf>
    <xf numFmtId="0" fontId="17" fillId="11" borderId="3" xfId="0" applyFont="1" applyFill="1" applyBorder="1" applyAlignment="1">
      <alignment horizontal="left" wrapText="1" indent="1"/>
    </xf>
    <xf numFmtId="3" fontId="17" fillId="11" borderId="3" xfId="0" applyNumberFormat="1" applyFont="1" applyFill="1" applyBorder="1" applyAlignment="1">
      <alignment horizontal="right"/>
    </xf>
    <xf numFmtId="0" fontId="30" fillId="11" borderId="4" xfId="0" quotePrefix="1" applyFont="1" applyFill="1" applyBorder="1" applyAlignment="1">
      <alignment horizontal="left" indent="2"/>
    </xf>
    <xf numFmtId="10" fontId="31" fillId="11" borderId="4" xfId="0" applyNumberFormat="1" applyFont="1" applyFill="1" applyBorder="1" applyAlignment="1">
      <alignment horizontal="right"/>
    </xf>
    <xf numFmtId="188" fontId="26" fillId="0" borderId="3" xfId="0" applyNumberFormat="1" applyFont="1" applyBorder="1" applyAlignment="1">
      <alignment horizontal="center"/>
    </xf>
    <xf numFmtId="10" fontId="11" fillId="0" borderId="3" xfId="0" applyNumberFormat="1" applyFont="1" applyBorder="1"/>
    <xf numFmtId="191" fontId="26" fillId="0" borderId="14" xfId="0" applyNumberFormat="1" applyFont="1" applyBorder="1"/>
    <xf numFmtId="0" fontId="16" fillId="5" borderId="3" xfId="0" quotePrefix="1" applyFont="1" applyFill="1" applyBorder="1"/>
    <xf numFmtId="0" fontId="22" fillId="0" borderId="3" xfId="0" applyFont="1" applyBorder="1" applyAlignment="1">
      <alignment horizontal="left"/>
    </xf>
    <xf numFmtId="3" fontId="38" fillId="7" borderId="3" xfId="0" applyNumberFormat="1" applyFont="1" applyFill="1" applyBorder="1" applyAlignment="1">
      <alignment horizontal="right"/>
    </xf>
    <xf numFmtId="0" fontId="17" fillId="0" borderId="3" xfId="0" quotePrefix="1" applyFont="1" applyBorder="1" applyAlignment="1">
      <alignment horizontal="left" wrapText="1" indent="1"/>
    </xf>
    <xf numFmtId="0" fontId="30" fillId="0" borderId="4" xfId="0" applyFont="1" applyBorder="1" applyAlignment="1">
      <alignment horizontal="left" wrapText="1" indent="2"/>
    </xf>
    <xf numFmtId="10" fontId="31" fillId="0" borderId="4" xfId="0" applyNumberFormat="1" applyFont="1" applyBorder="1" applyAlignment="1">
      <alignment horizontal="right"/>
    </xf>
    <xf numFmtId="0" fontId="17" fillId="0" borderId="4" xfId="0" applyFont="1" applyBorder="1" applyAlignment="1">
      <alignment horizontal="left" indent="1"/>
    </xf>
    <xf numFmtId="3" fontId="38" fillId="0" borderId="4" xfId="0" applyNumberFormat="1" applyFont="1" applyBorder="1" applyAlignment="1">
      <alignment horizontal="right"/>
    </xf>
    <xf numFmtId="0" fontId="17" fillId="0" borderId="5" xfId="0" applyFont="1" applyBorder="1" applyAlignment="1">
      <alignment horizontal="left" wrapText="1" indent="1"/>
    </xf>
    <xf numFmtId="3" fontId="8" fillId="0" borderId="5" xfId="0" applyNumberFormat="1" applyFont="1" applyBorder="1" applyAlignment="1">
      <alignment horizontal="right"/>
    </xf>
    <xf numFmtId="14" fontId="16" fillId="0" borderId="3" xfId="0" applyNumberFormat="1" applyFont="1" applyBorder="1" applyAlignment="1">
      <alignment horizontal="center"/>
    </xf>
    <xf numFmtId="181" fontId="37" fillId="12" borderId="8" xfId="0" applyNumberFormat="1" applyFont="1" applyFill="1" applyBorder="1" applyAlignment="1">
      <alignment horizontal="center"/>
    </xf>
    <xf numFmtId="49" fontId="10" fillId="0" borderId="5" xfId="0" applyNumberFormat="1" applyFont="1" applyBorder="1" applyAlignment="1">
      <alignment horizontal="center"/>
    </xf>
    <xf numFmtId="0" fontId="11" fillId="0" borderId="5" xfId="0" applyFont="1" applyBorder="1"/>
    <xf numFmtId="0" fontId="10" fillId="0" borderId="4" xfId="0" applyFont="1" applyBorder="1" applyAlignment="1">
      <alignment horizontal="center"/>
    </xf>
    <xf numFmtId="0" fontId="11" fillId="0" borderId="4" xfId="0" applyFont="1" applyBorder="1"/>
    <xf numFmtId="177" fontId="10" fillId="0" borderId="3" xfId="0" applyNumberFormat="1" applyFont="1" applyBorder="1" applyAlignment="1">
      <alignment horizontal="center"/>
    </xf>
    <xf numFmtId="0" fontId="11" fillId="0" borderId="3" xfId="0" applyFont="1" applyBorder="1"/>
    <xf numFmtId="3" fontId="10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5" xfId="1" applyNumberFormat="1" applyFont="1" applyBorder="1" applyAlignment="1">
      <alignment horizontal="left"/>
    </xf>
    <xf numFmtId="178" fontId="6" fillId="0" borderId="4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3" fontId="9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181" fontId="37" fillId="12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4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2F75B5"/>
      <color rgb="FFFF0000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opLeftCell="A4" zoomScaleNormal="100" workbookViewId="0">
      <selection activeCell="F30" sqref="F30"/>
    </sheetView>
  </sheetViews>
  <sheetFormatPr defaultColWidth="8.796875" defaultRowHeight="11.65" x14ac:dyDescent="0.35"/>
  <cols>
    <col min="1" max="1" width="3" style="2" customWidth="1"/>
    <col min="2" max="2" width="27.33203125" style="2" customWidth="1"/>
    <col min="3" max="13" width="24.6640625" style="2" customWidth="1"/>
    <col min="14" max="16384" width="8.796875" style="2"/>
  </cols>
  <sheetData>
    <row r="2" spans="1:5" x14ac:dyDescent="0.35">
      <c r="A2" s="4"/>
      <c r="B2" s="5" t="s">
        <v>188</v>
      </c>
    </row>
    <row r="4" spans="1:5" x14ac:dyDescent="0.35">
      <c r="B4" s="46" t="s">
        <v>168</v>
      </c>
      <c r="C4" s="66" t="s">
        <v>278</v>
      </c>
      <c r="D4" s="66" t="s">
        <v>285</v>
      </c>
    </row>
    <row r="5" spans="1:5" x14ac:dyDescent="0.35">
      <c r="B5" s="46" t="s">
        <v>169</v>
      </c>
      <c r="C5" s="67" t="s">
        <v>286</v>
      </c>
    </row>
    <row r="6" spans="1:5" x14ac:dyDescent="0.35">
      <c r="B6" s="46" t="s">
        <v>269</v>
      </c>
      <c r="C6" s="68">
        <v>45643</v>
      </c>
    </row>
    <row r="7" spans="1:5" x14ac:dyDescent="0.35">
      <c r="B7" s="39" t="s">
        <v>4</v>
      </c>
      <c r="C7" s="125">
        <v>8</v>
      </c>
    </row>
    <row r="8" spans="1:5" x14ac:dyDescent="0.35">
      <c r="B8" s="39" t="s">
        <v>189</v>
      </c>
      <c r="C8" s="118" t="s">
        <v>287</v>
      </c>
    </row>
    <row r="9" spans="1:5" x14ac:dyDescent="0.35">
      <c r="B9" s="39" t="s">
        <v>190</v>
      </c>
      <c r="C9" s="119" t="s">
        <v>275</v>
      </c>
    </row>
    <row r="10" spans="1:5" x14ac:dyDescent="0.35">
      <c r="B10" s="39" t="s">
        <v>191</v>
      </c>
      <c r="C10" s="70">
        <v>587107850</v>
      </c>
    </row>
    <row r="11" spans="1:5" x14ac:dyDescent="0.35">
      <c r="B11" s="39" t="s">
        <v>192</v>
      </c>
      <c r="C11" s="69" t="s">
        <v>2</v>
      </c>
    </row>
    <row r="12" spans="1:5" x14ac:dyDescent="0.35">
      <c r="B12" s="71" t="s">
        <v>10</v>
      </c>
      <c r="C12" s="72">
        <v>45382</v>
      </c>
    </row>
    <row r="13" spans="1:5" x14ac:dyDescent="0.35">
      <c r="B13" s="71" t="s">
        <v>11</v>
      </c>
      <c r="C13" s="73">
        <v>1000</v>
      </c>
    </row>
    <row r="14" spans="1:5" x14ac:dyDescent="0.35">
      <c r="B14" s="71" t="s">
        <v>193</v>
      </c>
      <c r="C14" s="72">
        <v>45382</v>
      </c>
    </row>
    <row r="15" spans="1:5" x14ac:dyDescent="0.35">
      <c r="B15" s="71" t="s">
        <v>222</v>
      </c>
      <c r="C15" s="117" t="s">
        <v>165</v>
      </c>
    </row>
    <row r="16" spans="1:5" x14ac:dyDescent="0.35">
      <c r="B16" s="74" t="s">
        <v>89</v>
      </c>
      <c r="C16" s="120">
        <v>0.25</v>
      </c>
      <c r="D16" s="75"/>
      <c r="E16" s="25" t="s">
        <v>252</v>
      </c>
    </row>
    <row r="17" spans="2:13" x14ac:dyDescent="0.35">
      <c r="B17" s="56" t="s">
        <v>197</v>
      </c>
      <c r="C17" s="121" t="s">
        <v>288</v>
      </c>
      <c r="D17" s="75"/>
    </row>
    <row r="18" spans="2:13" x14ac:dyDescent="0.35">
      <c r="B18" s="56" t="s">
        <v>210</v>
      </c>
      <c r="C18" s="121" t="s">
        <v>215</v>
      </c>
      <c r="D18" s="75"/>
    </row>
    <row r="19" spans="2:13" x14ac:dyDescent="0.35">
      <c r="B19" s="56" t="s">
        <v>211</v>
      </c>
      <c r="C19" s="121" t="s">
        <v>289</v>
      </c>
      <c r="D19" s="75"/>
    </row>
    <row r="20" spans="2:13" x14ac:dyDescent="0.35">
      <c r="B20" s="57" t="s">
        <v>200</v>
      </c>
      <c r="C20" s="121" t="s">
        <v>289</v>
      </c>
      <c r="D20" s="75"/>
    </row>
    <row r="21" spans="2:13" x14ac:dyDescent="0.35">
      <c r="B21" s="2" t="s">
        <v>203</v>
      </c>
      <c r="C21" s="121" t="s">
        <v>288</v>
      </c>
      <c r="D21" s="75"/>
    </row>
    <row r="22" spans="2:13" ht="69.75" x14ac:dyDescent="0.35">
      <c r="B22" s="59" t="s">
        <v>202</v>
      </c>
      <c r="C22" s="122" t="s">
        <v>290</v>
      </c>
      <c r="D22" s="75"/>
    </row>
    <row r="24" spans="2:13" x14ac:dyDescent="0.35">
      <c r="B24" s="76" t="s">
        <v>281</v>
      </c>
      <c r="C24" s="286">
        <f>C12</f>
        <v>45382</v>
      </c>
      <c r="D24" s="287">
        <f>EOMONTH(EDATE(C24,-12),0)</f>
        <v>45016</v>
      </c>
      <c r="E24" s="287">
        <f t="shared" ref="E24:M24" si="0">EOMONTH(EDATE(D24,-12),0)</f>
        <v>44651</v>
      </c>
      <c r="F24" s="287">
        <f t="shared" si="0"/>
        <v>44286</v>
      </c>
      <c r="G24" s="287">
        <f t="shared" si="0"/>
        <v>43921</v>
      </c>
      <c r="H24" s="287">
        <f t="shared" si="0"/>
        <v>43555</v>
      </c>
      <c r="I24" s="287">
        <f t="shared" si="0"/>
        <v>43190</v>
      </c>
      <c r="J24" s="287">
        <f t="shared" si="0"/>
        <v>42825</v>
      </c>
      <c r="K24" s="287">
        <f t="shared" si="0"/>
        <v>42460</v>
      </c>
      <c r="L24" s="287">
        <f t="shared" si="0"/>
        <v>42094</v>
      </c>
      <c r="M24" s="287">
        <f t="shared" si="0"/>
        <v>41729</v>
      </c>
    </row>
    <row r="25" spans="2:13" x14ac:dyDescent="0.35">
      <c r="B25" s="263" t="s">
        <v>12</v>
      </c>
      <c r="C25" s="77">
        <v>15325962</v>
      </c>
      <c r="D25" s="77">
        <v>11977844</v>
      </c>
      <c r="E25" s="77">
        <v>11737803</v>
      </c>
      <c r="F25" s="77">
        <v>8861335</v>
      </c>
      <c r="G25" s="77">
        <v>11233771</v>
      </c>
      <c r="H25" s="77">
        <v>15859990</v>
      </c>
      <c r="I25" s="77"/>
      <c r="J25" s="77"/>
      <c r="K25" s="77"/>
      <c r="L25" s="77"/>
      <c r="M25" s="77"/>
    </row>
    <row r="26" spans="2:13" x14ac:dyDescent="0.35">
      <c r="B26" s="264" t="s">
        <v>98</v>
      </c>
      <c r="C26" s="78">
        <v>11151623</v>
      </c>
      <c r="D26" s="78">
        <v>8747447</v>
      </c>
      <c r="E26" s="78">
        <v>8503976</v>
      </c>
      <c r="F26" s="78">
        <v>6229020</v>
      </c>
      <c r="G26" s="78">
        <v>7910751</v>
      </c>
      <c r="H26" s="78">
        <v>11826154</v>
      </c>
      <c r="I26" s="78"/>
      <c r="J26" s="78"/>
      <c r="K26" s="78"/>
      <c r="L26" s="78"/>
      <c r="M26" s="78"/>
    </row>
    <row r="27" spans="2:13" x14ac:dyDescent="0.35">
      <c r="B27" s="264" t="s">
        <v>96</v>
      </c>
      <c r="C27" s="78">
        <v>2297566</v>
      </c>
      <c r="D27" s="78">
        <v>1867515</v>
      </c>
      <c r="E27" s="78">
        <v>1815111</v>
      </c>
      <c r="F27" s="78">
        <v>1694480</v>
      </c>
      <c r="G27" s="78">
        <v>2118252</v>
      </c>
      <c r="H27" s="78">
        <v>2416769</v>
      </c>
      <c r="I27" s="78"/>
      <c r="J27" s="78"/>
      <c r="K27" s="78"/>
      <c r="L27" s="78"/>
      <c r="M27" s="78"/>
    </row>
    <row r="28" spans="2:13" x14ac:dyDescent="0.35">
      <c r="B28" s="264" t="s">
        <v>99</v>
      </c>
      <c r="C28" s="78"/>
      <c r="D28" s="78"/>
      <c r="E28" s="78"/>
      <c r="F28" s="78"/>
      <c r="G28" s="78"/>
      <c r="H28" s="78"/>
      <c r="I28" s="78"/>
      <c r="J28" s="78"/>
      <c r="K28" s="78"/>
      <c r="L28" s="78"/>
      <c r="M28" s="78"/>
    </row>
    <row r="29" spans="2:13" x14ac:dyDescent="0.35">
      <c r="B29" s="264" t="s">
        <v>223</v>
      </c>
      <c r="C29" s="78">
        <v>59596</v>
      </c>
      <c r="D29" s="78">
        <v>20763</v>
      </c>
      <c r="E29" s="78">
        <v>23097</v>
      </c>
      <c r="F29" s="78">
        <v>28849</v>
      </c>
      <c r="G29" s="78">
        <v>63075</v>
      </c>
      <c r="H29" s="78">
        <v>34253</v>
      </c>
      <c r="I29" s="78"/>
      <c r="J29" s="78"/>
      <c r="K29" s="78"/>
      <c r="L29" s="78"/>
      <c r="M29" s="78"/>
    </row>
    <row r="30" spans="2:13" x14ac:dyDescent="0.35">
      <c r="B30" s="303" t="s">
        <v>279</v>
      </c>
      <c r="C30" s="302">
        <v>1767305</v>
      </c>
      <c r="D30" s="302">
        <v>1284757</v>
      </c>
      <c r="E30" s="302">
        <v>1392364</v>
      </c>
      <c r="F30" s="302">
        <v>1017335</v>
      </c>
      <c r="G30" s="302">
        <v>866315</v>
      </c>
      <c r="H30" s="302"/>
      <c r="I30" s="302"/>
      <c r="J30" s="302"/>
      <c r="K30" s="302"/>
      <c r="L30" s="302"/>
      <c r="M30" s="302"/>
    </row>
    <row r="31" spans="2:13" x14ac:dyDescent="0.35">
      <c r="B31" s="266" t="s">
        <v>103</v>
      </c>
      <c r="C31" s="78">
        <v>-9467</v>
      </c>
      <c r="D31" s="78">
        <v>-30</v>
      </c>
      <c r="E31" s="78">
        <v>-27</v>
      </c>
      <c r="F31" s="78">
        <v>1799</v>
      </c>
      <c r="G31" s="78">
        <v>1337</v>
      </c>
      <c r="H31" s="78">
        <v>10908</v>
      </c>
      <c r="I31" s="78"/>
      <c r="J31" s="78"/>
      <c r="K31" s="78"/>
      <c r="L31" s="78"/>
      <c r="M31" s="78"/>
    </row>
    <row r="32" spans="2:13" x14ac:dyDescent="0.35">
      <c r="B32" s="264" t="s">
        <v>102</v>
      </c>
      <c r="C32" s="78">
        <v>626583</v>
      </c>
      <c r="D32" s="78">
        <v>352099</v>
      </c>
      <c r="E32" s="78">
        <v>1045251</v>
      </c>
      <c r="F32" s="78">
        <v>-818677</v>
      </c>
      <c r="G32" s="78"/>
      <c r="H32" s="78"/>
      <c r="I32" s="78"/>
      <c r="J32" s="78"/>
      <c r="K32" s="78"/>
      <c r="L32" s="78"/>
      <c r="M32" s="78"/>
    </row>
    <row r="33" spans="2:13" x14ac:dyDescent="0.35">
      <c r="B33" s="264" t="s">
        <v>97</v>
      </c>
      <c r="C33" s="78">
        <v>456554</v>
      </c>
      <c r="D33" s="78">
        <v>373191</v>
      </c>
      <c r="E33" s="78"/>
      <c r="F33" s="78"/>
      <c r="G33" s="78"/>
      <c r="H33" s="78"/>
      <c r="I33" s="78"/>
      <c r="J33" s="78"/>
      <c r="K33" s="78"/>
      <c r="L33" s="78"/>
      <c r="M33" s="78"/>
    </row>
    <row r="34" spans="2:13" x14ac:dyDescent="0.35">
      <c r="B34" s="264" t="s">
        <v>100</v>
      </c>
      <c r="C34" s="78">
        <v>676387</v>
      </c>
      <c r="D34" s="78">
        <v>107280</v>
      </c>
      <c r="E34" s="78">
        <v>455483</v>
      </c>
      <c r="F34" s="78">
        <v>138937</v>
      </c>
      <c r="G34" s="78"/>
      <c r="H34" s="78"/>
      <c r="I34" s="78"/>
      <c r="J34" s="78"/>
      <c r="K34" s="78"/>
      <c r="L34" s="78"/>
      <c r="M34" s="78"/>
    </row>
    <row r="35" spans="2:13" x14ac:dyDescent="0.35">
      <c r="B35" s="263" t="s">
        <v>106</v>
      </c>
      <c r="C35" s="79"/>
      <c r="D35" s="78">
        <v>213823</v>
      </c>
      <c r="E35" s="78">
        <v>187711</v>
      </c>
      <c r="F35" s="78">
        <v>277338</v>
      </c>
      <c r="G35" s="78"/>
      <c r="H35" s="78"/>
      <c r="I35" s="78"/>
      <c r="J35" s="78"/>
      <c r="K35" s="78"/>
      <c r="L35" s="78"/>
      <c r="M35" s="78"/>
    </row>
    <row r="36" spans="2:13" x14ac:dyDescent="0.35">
      <c r="B36" s="263" t="s">
        <v>135</v>
      </c>
      <c r="C36" s="79"/>
      <c r="D36" s="78">
        <v>8852611</v>
      </c>
      <c r="E36" s="78">
        <v>8769304</v>
      </c>
      <c r="F36" s="78">
        <v>7321614</v>
      </c>
      <c r="G36" s="78"/>
      <c r="H36" s="78"/>
      <c r="I36" s="78"/>
      <c r="J36" s="78"/>
      <c r="K36" s="78"/>
      <c r="L36" s="78"/>
      <c r="M36" s="78"/>
    </row>
    <row r="37" spans="2:13" x14ac:dyDescent="0.35">
      <c r="B37" s="263" t="s">
        <v>244</v>
      </c>
      <c r="C37" s="78">
        <v>3990166</v>
      </c>
      <c r="D37" s="78">
        <v>2466431</v>
      </c>
      <c r="E37" s="78">
        <v>3908586</v>
      </c>
      <c r="F37" s="78">
        <v>2946772</v>
      </c>
      <c r="G37" s="78"/>
      <c r="H37" s="78"/>
      <c r="I37" s="78"/>
      <c r="J37" s="78"/>
      <c r="K37" s="78"/>
      <c r="L37" s="78"/>
      <c r="M37" s="78"/>
    </row>
    <row r="38" spans="2:13" x14ac:dyDescent="0.35">
      <c r="B38" s="263" t="s">
        <v>249</v>
      </c>
      <c r="C38" s="78">
        <f>20356+1075000</f>
        <v>1095356</v>
      </c>
      <c r="D38" s="78">
        <f>24308+1075000</f>
        <v>1099308</v>
      </c>
      <c r="E38" s="78">
        <f>32736+1075000</f>
        <v>1107736</v>
      </c>
      <c r="F38" s="78">
        <f>47325+1075000</f>
        <v>1122325</v>
      </c>
      <c r="G38" s="78"/>
      <c r="H38" s="78"/>
      <c r="I38" s="78"/>
      <c r="J38" s="78"/>
      <c r="K38" s="78"/>
      <c r="L38" s="78"/>
      <c r="M38" s="78"/>
    </row>
    <row r="39" spans="2:13" x14ac:dyDescent="0.35">
      <c r="B39" s="263" t="s">
        <v>17</v>
      </c>
      <c r="C39" s="79"/>
      <c r="D39" s="78">
        <f>35175+1000000</f>
        <v>1035175</v>
      </c>
      <c r="E39" s="78">
        <v>1587989</v>
      </c>
      <c r="F39" s="78">
        <v>1050082</v>
      </c>
      <c r="G39" s="78"/>
      <c r="H39" s="78"/>
      <c r="I39" s="78"/>
      <c r="J39" s="78"/>
      <c r="K39" s="78"/>
      <c r="L39" s="78"/>
      <c r="M39" s="78"/>
    </row>
    <row r="40" spans="2:13" x14ac:dyDescent="0.35">
      <c r="B40" s="263" t="s">
        <v>18</v>
      </c>
      <c r="C40" s="79"/>
      <c r="D40" s="78">
        <v>67759</v>
      </c>
      <c r="E40" s="78">
        <v>153013</v>
      </c>
      <c r="F40" s="78">
        <v>81854</v>
      </c>
      <c r="G40" s="78"/>
      <c r="H40" s="78"/>
      <c r="I40" s="78"/>
      <c r="J40" s="78"/>
      <c r="K40" s="78"/>
      <c r="L40" s="78"/>
      <c r="M40" s="78"/>
    </row>
    <row r="41" spans="2:13" x14ac:dyDescent="0.35">
      <c r="B41" s="280" t="s">
        <v>126</v>
      </c>
      <c r="C41" s="302">
        <v>12863898</v>
      </c>
      <c r="D41" s="302">
        <v>12220942</v>
      </c>
      <c r="E41" s="302">
        <v>12078528</v>
      </c>
      <c r="F41" s="302">
        <v>11324224</v>
      </c>
      <c r="G41" s="302"/>
      <c r="H41" s="302"/>
      <c r="I41" s="302"/>
      <c r="J41" s="302"/>
      <c r="K41" s="302"/>
      <c r="L41" s="302"/>
      <c r="M41" s="302"/>
    </row>
    <row r="42" spans="2:13" x14ac:dyDescent="0.35">
      <c r="B42" s="263" t="s">
        <v>127</v>
      </c>
      <c r="C42" s="78">
        <v>-26962</v>
      </c>
      <c r="D42" s="78">
        <v>-498</v>
      </c>
      <c r="E42" s="78">
        <v>468</v>
      </c>
      <c r="F42" s="78">
        <v>411</v>
      </c>
      <c r="G42" s="78"/>
      <c r="H42" s="78"/>
      <c r="I42" s="78"/>
      <c r="J42" s="78"/>
      <c r="K42" s="78"/>
      <c r="L42" s="78"/>
      <c r="M42" s="78"/>
    </row>
    <row r="43" spans="2:13" x14ac:dyDescent="0.35">
      <c r="B43" s="263" t="s">
        <v>125</v>
      </c>
      <c r="C43" s="79"/>
      <c r="D43" s="78">
        <v>3475378</v>
      </c>
      <c r="E43" s="78">
        <v>4499643</v>
      </c>
      <c r="F43" s="78">
        <v>4455433</v>
      </c>
      <c r="G43" s="78"/>
      <c r="H43" s="78"/>
      <c r="I43" s="78"/>
      <c r="J43" s="78"/>
      <c r="K43" s="78"/>
      <c r="L43" s="78"/>
      <c r="M43" s="78"/>
    </row>
    <row r="44" spans="2:13" x14ac:dyDescent="0.35">
      <c r="B44" s="301" t="s">
        <v>181</v>
      </c>
      <c r="C44" s="81">
        <f>0.72+0.64</f>
        <v>1.3599999999999999</v>
      </c>
      <c r="D44" s="81">
        <f>0.55+0.55</f>
        <v>1.1000000000000001</v>
      </c>
      <c r="E44" s="81">
        <f>0.55+0.55</f>
        <v>1.1000000000000001</v>
      </c>
      <c r="F44" s="81">
        <f>0.5+0.5</f>
        <v>1</v>
      </c>
      <c r="G44" s="81">
        <f>0.5+0.5</f>
        <v>1</v>
      </c>
      <c r="H44" s="81">
        <f>0.6+0.55</f>
        <v>1.1499999999999999</v>
      </c>
      <c r="I44" s="81"/>
      <c r="J44" s="81"/>
      <c r="K44" s="81"/>
      <c r="L44" s="81"/>
      <c r="M44" s="81"/>
    </row>
    <row r="45" spans="2:13" x14ac:dyDescent="0.35">
      <c r="B45" s="301" t="s">
        <v>219</v>
      </c>
      <c r="C45" s="82">
        <f>IF(C44="","",C44*Exchange_Rate/Dashboard!$G$3)</f>
        <v>9.4839609483960946E-2</v>
      </c>
      <c r="D45" s="82">
        <f>IF(D44="","",D44*Exchange_Rate/Dashboard!$G$3)</f>
        <v>7.6708507670850773E-2</v>
      </c>
      <c r="E45" s="82">
        <f>IF(E44="","",E44*Exchange_Rate/Dashboard!$G$3)</f>
        <v>7.6708507670850773E-2</v>
      </c>
      <c r="F45" s="82">
        <f>IF(F44="","",F44*Exchange_Rate/Dashboard!$G$3)</f>
        <v>6.9735006973500699E-2</v>
      </c>
      <c r="G45" s="82">
        <f>IF(G44="","",G44*Exchange_Rate/Dashboard!$G$3)</f>
        <v>6.9735006973500699E-2</v>
      </c>
      <c r="H45" s="82">
        <f>IF(H44="","",H44*Exchange_Rate/Dashboard!$G$3)</f>
        <v>8.0195258019525803E-2</v>
      </c>
      <c r="I45" s="82" t="str">
        <f>IF(I44="","",I44*Exchange_Rate/Dashboard!$G$3)</f>
        <v/>
      </c>
      <c r="J45" s="82" t="str">
        <f>IF(J44="","",J44*Exchange_Rate/Dashboard!$G$3)</f>
        <v/>
      </c>
      <c r="K45" s="82" t="str">
        <f>IF(K44="","",K44*Exchange_Rate/Dashboard!$G$3)</f>
        <v/>
      </c>
      <c r="L45" s="82" t="str">
        <f>IF(L44="","",L44*Exchange_Rate/Dashboard!$G$3)</f>
        <v/>
      </c>
      <c r="M45" s="82" t="str">
        <f>IF(M44="","",M44*Exchange_Rate/Dashboard!$G$3)</f>
        <v/>
      </c>
    </row>
    <row r="47" spans="2:13" x14ac:dyDescent="0.35">
      <c r="B47" s="83" t="str">
        <f>"Balance Sheet"&amp;IF(SUM(C48:C72)=C37+C41,"","- Error")</f>
        <v>Balance Sheet</v>
      </c>
      <c r="C47" s="84" t="s">
        <v>28</v>
      </c>
      <c r="D47" s="84" t="s">
        <v>170</v>
      </c>
      <c r="E47" s="85" t="s">
        <v>30</v>
      </c>
    </row>
    <row r="48" spans="2:13" x14ac:dyDescent="0.35">
      <c r="B48" s="9" t="s">
        <v>31</v>
      </c>
      <c r="C48" s="86">
        <v>1998219</v>
      </c>
      <c r="D48" s="109">
        <v>0.9</v>
      </c>
      <c r="E48" s="260"/>
    </row>
    <row r="49" spans="2:5" x14ac:dyDescent="0.35">
      <c r="B49" s="2" t="s">
        <v>124</v>
      </c>
      <c r="C49" s="86"/>
      <c r="D49" s="109">
        <v>0.8</v>
      </c>
      <c r="E49" s="260"/>
    </row>
    <row r="50" spans="2:5" x14ac:dyDescent="0.35">
      <c r="B50" s="9" t="s">
        <v>106</v>
      </c>
      <c r="C50" s="86">
        <v>265773</v>
      </c>
      <c r="D50" s="109">
        <f>D51</f>
        <v>0.6</v>
      </c>
      <c r="E50" s="260"/>
    </row>
    <row r="51" spans="2:5" x14ac:dyDescent="0.35">
      <c r="B51" s="9" t="s">
        <v>35</v>
      </c>
      <c r="C51" s="86"/>
      <c r="D51" s="109">
        <v>0.6</v>
      </c>
      <c r="E51" s="260"/>
    </row>
    <row r="52" spans="2:5" x14ac:dyDescent="0.35">
      <c r="B52" s="9" t="s">
        <v>37</v>
      </c>
      <c r="C52" s="86"/>
      <c r="D52" s="109">
        <v>0.5</v>
      </c>
      <c r="E52" s="260"/>
    </row>
    <row r="53" spans="2:5" x14ac:dyDescent="0.35">
      <c r="B53" s="2" t="s">
        <v>142</v>
      </c>
      <c r="C53" s="86"/>
      <c r="D53" s="109">
        <f>D50</f>
        <v>0.6</v>
      </c>
      <c r="E53" s="260"/>
    </row>
    <row r="54" spans="2:5" x14ac:dyDescent="0.35">
      <c r="B54" s="9" t="s">
        <v>227</v>
      </c>
      <c r="C54" s="86">
        <v>366595</v>
      </c>
      <c r="D54" s="109">
        <v>0.1</v>
      </c>
      <c r="E54" s="260"/>
    </row>
    <row r="55" spans="2:5" x14ac:dyDescent="0.35">
      <c r="B55" s="9" t="s">
        <v>40</v>
      </c>
      <c r="C55" s="86">
        <v>9672256</v>
      </c>
      <c r="D55" s="109">
        <f>D52</f>
        <v>0.5</v>
      </c>
      <c r="E55" s="260"/>
    </row>
    <row r="56" spans="2:5" x14ac:dyDescent="0.35">
      <c r="B56" s="2" t="s">
        <v>41</v>
      </c>
      <c r="C56" s="86"/>
      <c r="D56" s="109">
        <f>D50</f>
        <v>0.6</v>
      </c>
      <c r="E56" s="261" t="s">
        <v>64</v>
      </c>
    </row>
    <row r="57" spans="2:5" x14ac:dyDescent="0.35">
      <c r="B57" s="9" t="s">
        <v>109</v>
      </c>
      <c r="C57" s="86"/>
      <c r="D57" s="109">
        <v>0.6</v>
      </c>
      <c r="E57" s="261" t="s">
        <v>39</v>
      </c>
    </row>
    <row r="58" spans="2:5" x14ac:dyDescent="0.35">
      <c r="B58" s="9" t="s">
        <v>43</v>
      </c>
      <c r="C58" s="86">
        <v>29465</v>
      </c>
      <c r="D58" s="109">
        <f>D48</f>
        <v>0.9</v>
      </c>
      <c r="E58" s="260"/>
    </row>
    <row r="59" spans="2:5" x14ac:dyDescent="0.35">
      <c r="B59" s="12" t="s">
        <v>44</v>
      </c>
      <c r="C59" s="88"/>
      <c r="D59" s="110">
        <f>D70</f>
        <v>0.05</v>
      </c>
      <c r="E59" s="260"/>
    </row>
    <row r="60" spans="2:5" x14ac:dyDescent="0.35">
      <c r="B60" s="9" t="s">
        <v>54</v>
      </c>
      <c r="C60" s="86"/>
      <c r="D60" s="109">
        <f>D49</f>
        <v>0.8</v>
      </c>
      <c r="E60" s="260"/>
    </row>
    <row r="61" spans="2:5" x14ac:dyDescent="0.35">
      <c r="B61" s="9" t="s">
        <v>56</v>
      </c>
      <c r="C61" s="86"/>
      <c r="D61" s="109">
        <f>D51</f>
        <v>0.6</v>
      </c>
      <c r="E61" s="260"/>
    </row>
    <row r="62" spans="2:5" x14ac:dyDescent="0.35">
      <c r="B62" s="9" t="s">
        <v>58</v>
      </c>
      <c r="C62" s="86"/>
      <c r="D62" s="109">
        <f>D52</f>
        <v>0.5</v>
      </c>
      <c r="E62" s="260"/>
    </row>
    <row r="63" spans="2:5" x14ac:dyDescent="0.35">
      <c r="B63" s="2" t="s">
        <v>143</v>
      </c>
      <c r="C63" s="86"/>
      <c r="D63" s="109">
        <f>D62</f>
        <v>0.5</v>
      </c>
      <c r="E63" s="260"/>
    </row>
    <row r="64" spans="2:5" x14ac:dyDescent="0.35">
      <c r="B64" s="9" t="s">
        <v>226</v>
      </c>
      <c r="C64" s="86">
        <v>103050</v>
      </c>
      <c r="D64" s="109">
        <v>0.4</v>
      </c>
      <c r="E64" s="260"/>
    </row>
    <row r="65" spans="2:5" x14ac:dyDescent="0.35">
      <c r="B65" s="9" t="s">
        <v>63</v>
      </c>
      <c r="C65" s="86"/>
      <c r="D65" s="109">
        <v>0.1</v>
      </c>
      <c r="E65" s="261" t="s">
        <v>64</v>
      </c>
    </row>
    <row r="66" spans="2:5" x14ac:dyDescent="0.35">
      <c r="B66" s="9" t="s">
        <v>65</v>
      </c>
      <c r="C66" s="86">
        <v>925726</v>
      </c>
      <c r="D66" s="109">
        <v>0.2</v>
      </c>
      <c r="E66" s="261" t="s">
        <v>64</v>
      </c>
    </row>
    <row r="67" spans="2:5" x14ac:dyDescent="0.35">
      <c r="B67" s="2" t="s">
        <v>42</v>
      </c>
      <c r="C67" s="86"/>
      <c r="D67" s="109">
        <f>D65</f>
        <v>0.1</v>
      </c>
      <c r="E67" s="261" t="s">
        <v>39</v>
      </c>
    </row>
    <row r="68" spans="2:5" x14ac:dyDescent="0.35">
      <c r="B68" s="9" t="s">
        <v>108</v>
      </c>
      <c r="C68" s="86">
        <v>2522337</v>
      </c>
      <c r="D68" s="109">
        <f>D65</f>
        <v>0.1</v>
      </c>
      <c r="E68" s="260"/>
    </row>
    <row r="69" spans="2:5" x14ac:dyDescent="0.35">
      <c r="B69" s="9" t="s">
        <v>66</v>
      </c>
      <c r="C69" s="86"/>
      <c r="D69" s="109">
        <f>D70</f>
        <v>0.05</v>
      </c>
      <c r="E69" s="260"/>
    </row>
    <row r="70" spans="2:5" x14ac:dyDescent="0.35">
      <c r="B70" s="9" t="s">
        <v>67</v>
      </c>
      <c r="C70" s="86">
        <v>538321</v>
      </c>
      <c r="D70" s="109">
        <v>0.05</v>
      </c>
      <c r="E70" s="260"/>
    </row>
    <row r="71" spans="2:5" x14ac:dyDescent="0.35">
      <c r="B71" s="9" t="s">
        <v>68</v>
      </c>
      <c r="C71" s="86">
        <v>154648</v>
      </c>
      <c r="D71" s="109">
        <f>D58</f>
        <v>0.9</v>
      </c>
      <c r="E71" s="260"/>
    </row>
    <row r="72" spans="2:5" ht="12" thickBot="1" x14ac:dyDescent="0.4">
      <c r="B72" s="89" t="s">
        <v>69</v>
      </c>
      <c r="C72" s="90">
        <v>277674</v>
      </c>
      <c r="D72" s="111">
        <v>0</v>
      </c>
      <c r="E72" s="262"/>
    </row>
    <row r="73" spans="2:5" x14ac:dyDescent="0.35">
      <c r="B73" s="9" t="s">
        <v>32</v>
      </c>
      <c r="C73" s="86">
        <v>1427805</v>
      </c>
    </row>
    <row r="74" spans="2:5" x14ac:dyDescent="0.35">
      <c r="B74" s="9" t="s">
        <v>33</v>
      </c>
      <c r="C74" s="86">
        <v>287697</v>
      </c>
    </row>
    <row r="75" spans="2:5" x14ac:dyDescent="0.35">
      <c r="B75" s="9" t="s">
        <v>34</v>
      </c>
      <c r="C75" s="86"/>
    </row>
    <row r="76" spans="2:5" x14ac:dyDescent="0.35">
      <c r="B76" s="8" t="s">
        <v>36</v>
      </c>
      <c r="C76" s="88"/>
    </row>
    <row r="77" spans="2:5" ht="12" thickBot="1" x14ac:dyDescent="0.4">
      <c r="B77" s="91" t="s">
        <v>16</v>
      </c>
      <c r="C77" s="92">
        <v>3516809</v>
      </c>
    </row>
    <row r="78" spans="2:5" ht="12" thickTop="1" x14ac:dyDescent="0.35">
      <c r="B78" s="9" t="s">
        <v>55</v>
      </c>
      <c r="C78" s="86"/>
    </row>
    <row r="79" spans="2:5" x14ac:dyDescent="0.35">
      <c r="B79" s="9" t="s">
        <v>57</v>
      </c>
      <c r="C79" s="86">
        <v>319420</v>
      </c>
    </row>
    <row r="80" spans="2:5" x14ac:dyDescent="0.35">
      <c r="B80" s="9" t="s">
        <v>59</v>
      </c>
      <c r="C80" s="86"/>
    </row>
    <row r="81" spans="2:8" x14ac:dyDescent="0.35">
      <c r="B81" s="8" t="s">
        <v>60</v>
      </c>
      <c r="C81" s="88"/>
    </row>
    <row r="82" spans="2:8" hidden="1" x14ac:dyDescent="0.35">
      <c r="B82" s="300" t="s">
        <v>280</v>
      </c>
      <c r="C82" s="79">
        <v>473357</v>
      </c>
    </row>
    <row r="83" spans="2:8" hidden="1" x14ac:dyDescent="0.35">
      <c r="B83" s="300" t="s">
        <v>247</v>
      </c>
      <c r="C83" s="79">
        <v>12890860</v>
      </c>
    </row>
    <row r="84" spans="2:8" x14ac:dyDescent="0.35">
      <c r="B84" s="56" t="s">
        <v>83</v>
      </c>
      <c r="C84" s="86"/>
    </row>
    <row r="85" spans="2:8" x14ac:dyDescent="0.35">
      <c r="B85" s="56" t="s">
        <v>85</v>
      </c>
      <c r="C85" s="86"/>
    </row>
    <row r="86" spans="2:8" hidden="1" x14ac:dyDescent="0.35">
      <c r="B86" s="300" t="s">
        <v>248</v>
      </c>
      <c r="C86" s="79">
        <v>5</v>
      </c>
      <c r="D86" s="297"/>
    </row>
    <row r="87" spans="2:8" x14ac:dyDescent="0.35">
      <c r="B87" s="95" t="s">
        <v>218</v>
      </c>
      <c r="C87" s="107" t="s">
        <v>276</v>
      </c>
      <c r="D87" s="108">
        <v>0.02</v>
      </c>
    </row>
    <row r="89" spans="2:8" x14ac:dyDescent="0.35">
      <c r="B89" s="94" t="s">
        <v>116</v>
      </c>
      <c r="C89" s="310">
        <f>C24</f>
        <v>45382</v>
      </c>
      <c r="D89" s="310"/>
      <c r="E89" s="49" t="s">
        <v>180</v>
      </c>
      <c r="F89" s="49" t="s">
        <v>179</v>
      </c>
      <c r="H89" s="95"/>
    </row>
    <row r="90" spans="2:8" x14ac:dyDescent="0.35">
      <c r="B90" s="96" t="str">
        <f>"(Numbers in "&amp;Data!C4&amp;Dashboard!G6&amp;")"</f>
        <v>(Numbers in 1000HKD)</v>
      </c>
      <c r="C90" s="311" t="s">
        <v>93</v>
      </c>
      <c r="D90" s="311"/>
      <c r="E90" s="288" t="s">
        <v>94</v>
      </c>
      <c r="F90" s="289" t="s">
        <v>94</v>
      </c>
    </row>
    <row r="91" spans="2:8" x14ac:dyDescent="0.35">
      <c r="B91" s="9" t="s">
        <v>115</v>
      </c>
      <c r="C91" s="97">
        <f>C25</f>
        <v>15325962</v>
      </c>
      <c r="D91" s="98"/>
      <c r="E91" s="99">
        <f>C91*0.8</f>
        <v>12260769.600000001</v>
      </c>
      <c r="F91" s="99">
        <f>C91*0.9</f>
        <v>13793365.800000001</v>
      </c>
    </row>
    <row r="92" spans="2:8" x14ac:dyDescent="0.35">
      <c r="B92" s="100" t="s">
        <v>98</v>
      </c>
      <c r="C92" s="97">
        <f>C26</f>
        <v>11151623</v>
      </c>
      <c r="D92" s="101">
        <f>C92/C91</f>
        <v>0.72762956087193742</v>
      </c>
      <c r="E92" s="102">
        <f>E91*D92</f>
        <v>8921298.4000000004</v>
      </c>
      <c r="F92" s="102">
        <f>F91*D92</f>
        <v>10036460.700000001</v>
      </c>
    </row>
    <row r="93" spans="2:8" x14ac:dyDescent="0.35">
      <c r="B93" s="100" t="s">
        <v>217</v>
      </c>
      <c r="C93" s="97">
        <f>C27+C28</f>
        <v>2297566</v>
      </c>
      <c r="D93" s="101">
        <f>C93/C91</f>
        <v>0.14991333007350532</v>
      </c>
      <c r="E93" s="102">
        <f>E91*16.54%</f>
        <v>2027931.2918400001</v>
      </c>
      <c r="F93" s="102">
        <f>F91*16.54%</f>
        <v>2281422.7033199999</v>
      </c>
    </row>
    <row r="94" spans="2:8" x14ac:dyDescent="0.35">
      <c r="B94" s="100" t="s">
        <v>223</v>
      </c>
      <c r="C94" s="97">
        <f>C29</f>
        <v>59596</v>
      </c>
      <c r="D94" s="101">
        <f>C94/C91</f>
        <v>3.8885650375487034E-3</v>
      </c>
      <c r="E94" s="103"/>
      <c r="F94" s="102">
        <f>F91*D94</f>
        <v>53636.4</v>
      </c>
    </row>
    <row r="95" spans="2:8" x14ac:dyDescent="0.35">
      <c r="B95" s="18" t="s">
        <v>216</v>
      </c>
      <c r="C95" s="97">
        <f>ABS(MAX(C34,0)-C33)</f>
        <v>219833</v>
      </c>
      <c r="D95" s="101">
        <f>C95/C91</f>
        <v>1.4343830423173436E-2</v>
      </c>
      <c r="E95" s="102">
        <f>E91*1%</f>
        <v>122607.69600000001</v>
      </c>
      <c r="F95" s="102">
        <f>F91*1%</f>
        <v>137933.658</v>
      </c>
    </row>
    <row r="96" spans="2:8" x14ac:dyDescent="0.35">
      <c r="B96" s="18" t="s">
        <v>102</v>
      </c>
      <c r="C96" s="97">
        <f>MAX(C32,0)</f>
        <v>626583</v>
      </c>
      <c r="D96" s="101">
        <f>C96/C91</f>
        <v>4.0883763120383568E-2</v>
      </c>
      <c r="E96" s="103"/>
      <c r="F96" s="102">
        <f>F91*2.5%</f>
        <v>344834.14500000002</v>
      </c>
    </row>
    <row r="97" spans="2:6" x14ac:dyDescent="0.35">
      <c r="B97" s="93" t="s">
        <v>151</v>
      </c>
      <c r="C97" s="97">
        <f>MAX(C31,0)/(1-C16)</f>
        <v>0</v>
      </c>
      <c r="D97" s="101">
        <f>C97/C91</f>
        <v>0</v>
      </c>
      <c r="E97" s="103"/>
      <c r="F97" s="102">
        <f>F91*D97</f>
        <v>0</v>
      </c>
    </row>
    <row r="98" spans="2:6" x14ac:dyDescent="0.35">
      <c r="B98" s="8" t="s">
        <v>181</v>
      </c>
      <c r="C98" s="104">
        <f>C44</f>
        <v>1.3599999999999999</v>
      </c>
      <c r="D98" s="105"/>
      <c r="E98" s="106">
        <v>1</v>
      </c>
      <c r="F98" s="106">
        <f>0.55+0.55</f>
        <v>1.1000000000000001</v>
      </c>
    </row>
  </sheetData>
  <mergeCells count="2">
    <mergeCell ref="C89:D89"/>
    <mergeCell ref="C90:D90"/>
  </mergeCells>
  <phoneticPr fontId="3" type="noConversion"/>
  <conditionalFormatting sqref="C16 D35:M43 C44:M44 E91:F93 F94 E95:F95 F96:F98">
    <cfRule type="containsBlanks" dxfId="23" priority="17">
      <formula>LEN(TRIM(C16))=0</formula>
    </cfRule>
  </conditionalFormatting>
  <conditionalFormatting sqref="C37:C38">
    <cfRule type="containsBlanks" dxfId="22" priority="3">
      <formula>LEN(TRIM(C37))=0</formula>
    </cfRule>
  </conditionalFormatting>
  <conditionalFormatting sqref="C41:C42">
    <cfRule type="containsBlanks" dxfId="21" priority="4">
      <formula>LEN(TRIM(C41))=0</formula>
    </cfRule>
  </conditionalFormatting>
  <conditionalFormatting sqref="C87">
    <cfRule type="containsBlanks" dxfId="20" priority="10">
      <formula>LEN(TRIM(C87))=0</formula>
    </cfRule>
  </conditionalFormatting>
  <conditionalFormatting sqref="C98">
    <cfRule type="containsBlanks" dxfId="19" priority="9">
      <formula>LEN(TRIM(C98))=0</formula>
    </cfRule>
  </conditionalFormatting>
  <conditionalFormatting sqref="C25:M34">
    <cfRule type="containsBlanks" dxfId="18" priority="1">
      <formula>LEN(TRIM(C25))=0</formula>
    </cfRule>
  </conditionalFormatting>
  <conditionalFormatting sqref="E98">
    <cfRule type="containsBlanks" dxfId="17" priority="7">
      <formula>LEN(TRIM(E98))=0</formula>
    </cfRule>
  </conditionalFormatting>
  <dataValidations count="9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  <dataValidation type="list" showInputMessage="1" showErrorMessage="1" sqref="D4" xr:uid="{EC47C593-A7DE-4ABB-B6D2-C8BF531E4639}">
      <formula1>"HOLD"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 tint="0.59999389629810485"/>
    <outlinePr summaryBelow="0" summaryRight="0"/>
    <pageSetUpPr fitToPage="1"/>
  </sheetPr>
  <dimension ref="A1:J923"/>
  <sheetViews>
    <sheetView showGridLines="0" tabSelected="1" zoomScaleNormal="100" workbookViewId="0">
      <selection activeCell="C17" sqref="C17"/>
    </sheetView>
  </sheetViews>
  <sheetFormatPr defaultColWidth="12.33203125" defaultRowHeight="15" customHeight="1" x14ac:dyDescent="0.35"/>
  <cols>
    <col min="1" max="1" width="2.33203125" style="2" customWidth="1"/>
    <col min="2" max="2" width="30.6640625" style="2" customWidth="1"/>
    <col min="3" max="4" width="14.796875" style="2" customWidth="1"/>
    <col min="5" max="5" width="5.796875" style="2" customWidth="1"/>
    <col min="6" max="6" width="24.33203125" style="2" customWidth="1"/>
    <col min="7" max="8" width="14.796875" style="2" customWidth="1"/>
    <col min="9" max="9" width="14.33203125" style="2" bestFit="1" customWidth="1"/>
    <col min="10" max="16384" width="12.33203125" style="2"/>
  </cols>
  <sheetData>
    <row r="1" spans="1:10" ht="15" customHeight="1" x14ac:dyDescent="0.35">
      <c r="B1" s="3"/>
      <c r="C1" s="3"/>
      <c r="D1" s="3"/>
      <c r="E1" s="3"/>
      <c r="F1" s="3"/>
      <c r="G1" s="3"/>
      <c r="H1" s="3"/>
    </row>
    <row r="2" spans="1:10" ht="15.75" customHeight="1" x14ac:dyDescent="0.35">
      <c r="A2" s="4"/>
      <c r="B2" s="5" t="s">
        <v>0</v>
      </c>
      <c r="C2" s="6" t="str">
        <f>C3&amp;" : "&amp;C4</f>
        <v>0590.HK : 六福珠宝</v>
      </c>
      <c r="D2" s="3"/>
      <c r="E2" s="7"/>
      <c r="F2" s="7"/>
      <c r="G2" s="314" t="str">
        <f>IF(Inputs!D4="","",Inputs!D4)</f>
        <v>HOLD</v>
      </c>
      <c r="H2" s="314"/>
    </row>
    <row r="3" spans="1:10" ht="15.75" customHeight="1" x14ac:dyDescent="0.35">
      <c r="B3" s="9" t="s">
        <v>168</v>
      </c>
      <c r="C3" s="312" t="str">
        <f>Inputs!C4</f>
        <v>0590.HK</v>
      </c>
      <c r="D3" s="313"/>
      <c r="E3" s="3"/>
      <c r="F3" s="9" t="s">
        <v>1</v>
      </c>
      <c r="G3" s="10">
        <v>14.34</v>
      </c>
      <c r="H3" s="11" t="s">
        <v>257</v>
      </c>
    </row>
    <row r="4" spans="1:10" ht="15.75" customHeight="1" x14ac:dyDescent="0.35">
      <c r="B4" s="12" t="s">
        <v>169</v>
      </c>
      <c r="C4" s="314" t="str">
        <f>Inputs!C5</f>
        <v>六福珠宝</v>
      </c>
      <c r="D4" s="315"/>
      <c r="E4" s="3"/>
      <c r="F4" s="9" t="s">
        <v>3</v>
      </c>
      <c r="G4" s="318">
        <f>Inputs!C10</f>
        <v>587107850</v>
      </c>
      <c r="H4" s="318"/>
      <c r="I4" s="14"/>
    </row>
    <row r="5" spans="1:10" ht="15.75" customHeight="1" x14ac:dyDescent="0.35">
      <c r="B5" s="9" t="s">
        <v>146</v>
      </c>
      <c r="C5" s="316">
        <f>Inputs!C6</f>
        <v>45643</v>
      </c>
      <c r="D5" s="317"/>
      <c r="E5" s="16"/>
      <c r="F5" s="12" t="s">
        <v>92</v>
      </c>
      <c r="G5" s="321">
        <f>G3*G4/1000000</f>
        <v>8419.126569</v>
      </c>
      <c r="H5" s="321"/>
      <c r="I5" s="17"/>
      <c r="J5" s="18"/>
    </row>
    <row r="6" spans="1:10" ht="15.75" customHeight="1" x14ac:dyDescent="0.35">
      <c r="B6" s="3" t="s">
        <v>4</v>
      </c>
      <c r="C6" s="124">
        <f>Inputs!C7</f>
        <v>8</v>
      </c>
      <c r="D6" s="19">
        <f>EOMONTH(EDATE(Fin_Analysis!D9,C6),0)</f>
        <v>45626</v>
      </c>
      <c r="E6" s="20">
        <f>IF(Fin_Analysis!E9="FY",Fin_Analysis!D9,Data!C3)</f>
        <v>45382</v>
      </c>
      <c r="F6" s="9" t="s">
        <v>5</v>
      </c>
      <c r="G6" s="322" t="str">
        <f>Inputs!C11</f>
        <v>HKD</v>
      </c>
      <c r="H6" s="322"/>
      <c r="I6" s="17"/>
    </row>
    <row r="7" spans="1:10" ht="15.75" customHeight="1" x14ac:dyDescent="0.35">
      <c r="B7" s="8" t="s">
        <v>166</v>
      </c>
      <c r="C7" s="123" t="str">
        <f>Inputs!C8</f>
        <v xml:space="preserve">Superior Cycl. </v>
      </c>
      <c r="D7" s="123" t="str">
        <f>Inputs!C9</f>
        <v>C0003</v>
      </c>
      <c r="E7" s="3"/>
      <c r="F7" s="12" t="s">
        <v>6</v>
      </c>
      <c r="G7" s="21">
        <v>1</v>
      </c>
      <c r="H7" s="22" t="str">
        <f>IF(G6=Dashboard!H3,H3,G6&amp;"/"&amp;Dashboard!H3)</f>
        <v>HKD</v>
      </c>
    </row>
    <row r="8" spans="1:10" ht="15.75" customHeight="1" x14ac:dyDescent="0.35"/>
    <row r="9" spans="1:10" ht="15.75" customHeight="1" x14ac:dyDescent="0.35">
      <c r="B9" s="83" t="s">
        <v>258</v>
      </c>
      <c r="C9" s="285"/>
      <c r="D9" s="285"/>
      <c r="F9" s="23" t="s">
        <v>161</v>
      </c>
    </row>
    <row r="10" spans="1:10" ht="15.75" customHeight="1" x14ac:dyDescent="0.35">
      <c r="B10" s="2" t="s">
        <v>153</v>
      </c>
      <c r="C10" s="24">
        <v>4.2000000000000003E-2</v>
      </c>
      <c r="F10" s="25" t="s">
        <v>160</v>
      </c>
    </row>
    <row r="11" spans="1:10" ht="15.75" customHeight="1" thickBot="1" x14ac:dyDescent="0.4">
      <c r="B11" s="26" t="s">
        <v>157</v>
      </c>
      <c r="C11" s="27">
        <v>5.2299999999999999E-2</v>
      </c>
      <c r="D11" s="28" t="s">
        <v>165</v>
      </c>
      <c r="F11" s="25" t="s">
        <v>155</v>
      </c>
    </row>
    <row r="12" spans="1:10" ht="15.75" customHeight="1" thickTop="1" x14ac:dyDescent="0.35">
      <c r="B12" s="3" t="s">
        <v>220</v>
      </c>
      <c r="C12" s="115">
        <v>7.0000000000000007E-2</v>
      </c>
      <c r="D12" s="116">
        <v>7.5000000000000011E-2</v>
      </c>
      <c r="F12" s="25"/>
    </row>
    <row r="13" spans="1:10" ht="15.75" customHeight="1" x14ac:dyDescent="0.35"/>
    <row r="14" spans="1:10" ht="15.75" customHeight="1" x14ac:dyDescent="0.35">
      <c r="B14" s="2" t="s">
        <v>154</v>
      </c>
      <c r="C14" s="24">
        <v>1.8100000000000002E-2</v>
      </c>
      <c r="F14" s="25" t="s">
        <v>159</v>
      </c>
    </row>
    <row r="15" spans="1:10" ht="15.75" customHeight="1" x14ac:dyDescent="0.35">
      <c r="B15" s="2" t="s">
        <v>162</v>
      </c>
      <c r="C15" s="24">
        <v>6.5000000000000002E-2</v>
      </c>
      <c r="F15" s="25" t="s">
        <v>158</v>
      </c>
    </row>
    <row r="16" spans="1:10" ht="15.75" customHeight="1" thickBot="1" x14ac:dyDescent="0.4">
      <c r="B16" s="26" t="s">
        <v>163</v>
      </c>
      <c r="C16" s="27">
        <v>0.16</v>
      </c>
      <c r="D16" s="29" t="str">
        <f>Inputs!C15</f>
        <v>HK</v>
      </c>
      <c r="F16" s="25" t="s">
        <v>156</v>
      </c>
    </row>
    <row r="17" spans="1:8" ht="15.75" customHeight="1" thickTop="1" x14ac:dyDescent="0.35">
      <c r="B17" s="3" t="s">
        <v>221</v>
      </c>
      <c r="C17" s="114">
        <v>0.08</v>
      </c>
      <c r="D17" s="117"/>
    </row>
    <row r="18" spans="1:8" ht="15.75" customHeight="1" x14ac:dyDescent="0.35"/>
    <row r="19" spans="1:8" ht="15.75" customHeight="1" thickBot="1" x14ac:dyDescent="0.4">
      <c r="B19" s="83" t="s">
        <v>243</v>
      </c>
      <c r="C19" s="285"/>
      <c r="D19" s="285"/>
      <c r="E19" s="3"/>
      <c r="F19" s="83" t="s">
        <v>186</v>
      </c>
      <c r="G19" s="285"/>
      <c r="H19" s="285"/>
    </row>
    <row r="20" spans="1:8" ht="15.75" customHeight="1" thickBot="1" x14ac:dyDescent="0.4">
      <c r="B20" s="30" t="s">
        <v>234</v>
      </c>
      <c r="C20" s="31">
        <f>C21*C22*C23</f>
        <v>0.14558943313324324</v>
      </c>
      <c r="F20" s="3" t="s">
        <v>185</v>
      </c>
      <c r="G20" s="116">
        <v>0.15</v>
      </c>
      <c r="H20" s="299">
        <v>4</v>
      </c>
    </row>
    <row r="21" spans="1:8" ht="15.75" customHeight="1" thickTop="1" x14ac:dyDescent="0.35">
      <c r="B21" s="32" t="s">
        <v>239</v>
      </c>
      <c r="C21" s="33">
        <f>Data!C13</f>
        <v>0.12245710905455723</v>
      </c>
      <c r="F21" s="3"/>
      <c r="G21" s="34"/>
    </row>
    <row r="22" spans="1:8" ht="15.75" customHeight="1" x14ac:dyDescent="0.35">
      <c r="B22" s="35" t="s">
        <v>245</v>
      </c>
      <c r="C22" s="36">
        <f>Data!C50</f>
        <v>0.90933332162498015</v>
      </c>
      <c r="F22" s="83" t="s">
        <v>259</v>
      </c>
      <c r="G22" s="285"/>
      <c r="H22" s="285"/>
    </row>
    <row r="23" spans="1:8" ht="15.75" customHeight="1" thickBot="1" x14ac:dyDescent="0.4">
      <c r="B23" s="37" t="s">
        <v>251</v>
      </c>
      <c r="C23" s="38">
        <f>1/Data!C55</f>
        <v>1.3074429479491672</v>
      </c>
      <c r="F23" s="39" t="s">
        <v>164</v>
      </c>
      <c r="G23" s="40">
        <f>G3/(Data!C36*Data!C4/Common_Shares*Exchange_Rate)</f>
        <v>0.6544770931019509</v>
      </c>
    </row>
    <row r="24" spans="1:8" ht="15.75" customHeight="1" x14ac:dyDescent="0.35">
      <c r="B24" s="41" t="s">
        <v>240</v>
      </c>
      <c r="C24" s="42">
        <f>Fin_Analysis!I81</f>
        <v>3.8885650375487034E-3</v>
      </c>
      <c r="F24" s="39" t="s">
        <v>225</v>
      </c>
      <c r="G24" s="43">
        <f>G3/(Fin_Analysis!H86*G7)</f>
        <v>11.953745883513935</v>
      </c>
    </row>
    <row r="25" spans="1:8" ht="15.75" customHeight="1" x14ac:dyDescent="0.35">
      <c r="B25" s="28" t="s">
        <v>241</v>
      </c>
      <c r="C25" s="44">
        <f>Fin_Analysis!I80</f>
        <v>2.5000000000000001E-2</v>
      </c>
      <c r="F25" s="39" t="s">
        <v>152</v>
      </c>
      <c r="G25" s="44">
        <f>Fin_Analysis!I88</f>
        <v>0.91695400780092962</v>
      </c>
    </row>
    <row r="26" spans="1:8" ht="15.75" customHeight="1" x14ac:dyDescent="0.35">
      <c r="B26" s="45" t="s">
        <v>242</v>
      </c>
      <c r="C26" s="44">
        <f>Fin_Analysis!I80+Fin_Analysis!I82</f>
        <v>3.5000000000000003E-2</v>
      </c>
      <c r="F26" s="46" t="s">
        <v>167</v>
      </c>
      <c r="G26" s="47">
        <f>Fin_Analysis!H88*Exchange_Rate/G3</f>
        <v>7.6708507670850773E-2</v>
      </c>
    </row>
    <row r="27" spans="1:8" ht="15.75" customHeight="1" x14ac:dyDescent="0.35"/>
    <row r="28" spans="1:8" ht="15.75" customHeight="1" x14ac:dyDescent="0.35">
      <c r="A28" s="4"/>
      <c r="B28" s="48" t="s">
        <v>7</v>
      </c>
      <c r="C28" s="49" t="s">
        <v>148</v>
      </c>
      <c r="D28" s="50" t="s">
        <v>149</v>
      </c>
      <c r="E28" s="51"/>
      <c r="F28" s="52" t="s">
        <v>209</v>
      </c>
      <c r="G28" s="319" t="s">
        <v>224</v>
      </c>
      <c r="H28" s="319"/>
    </row>
    <row r="29" spans="1:8" ht="15.75" customHeight="1" x14ac:dyDescent="0.35">
      <c r="B29" s="3" t="s">
        <v>150</v>
      </c>
      <c r="C29" s="53">
        <f>IF(Fin_Analysis!C108="Profit",Fin_Analysis!D100,IF(Fin_Analysis!C108="Dividend",Fin_Analysis!D103,Fin_Analysis!D106))</f>
        <v>13.511053205559854</v>
      </c>
      <c r="D29" s="54">
        <f>G29*(1+G20)</f>
        <v>25.800080073504109</v>
      </c>
      <c r="E29" s="3"/>
      <c r="F29" s="55">
        <f>IF(Fin_Analysis!C108="Profit",Fin_Analysis!F100,IF(Fin_Analysis!C108="Dividend",Fin_Analysis!F103,Fin_Analysis!F106))</f>
        <v>15.895356712423357</v>
      </c>
      <c r="G29" s="320">
        <f>IF(Fin_Analysis!C108="Profit",Fin_Analysis!I100,IF(Fin_Analysis!C108="Dividend",Fin_Analysis!I103,Fin_Analysis!I106))</f>
        <v>22.434852237829663</v>
      </c>
      <c r="H29" s="320"/>
    </row>
    <row r="30" spans="1:8" ht="15.75" customHeight="1" x14ac:dyDescent="0.35"/>
    <row r="31" spans="1:8" ht="15.75" customHeight="1" x14ac:dyDescent="0.35">
      <c r="A31" s="4"/>
      <c r="B31" s="5" t="s">
        <v>195</v>
      </c>
    </row>
    <row r="32" spans="1:8" ht="15.75" customHeight="1" x14ac:dyDescent="0.35">
      <c r="B32" s="83" t="s">
        <v>196</v>
      </c>
      <c r="C32" s="285"/>
      <c r="D32" s="285"/>
    </row>
    <row r="33" spans="1:4" ht="15.75" customHeight="1" x14ac:dyDescent="0.35">
      <c r="B33" s="56" t="s">
        <v>197</v>
      </c>
      <c r="C33" s="112" t="str">
        <f>Inputs!C17</f>
        <v>Strongly agree</v>
      </c>
    </row>
    <row r="34" spans="1:4" ht="15.75" customHeight="1" x14ac:dyDescent="0.35">
      <c r="B34" s="57" t="s">
        <v>198</v>
      </c>
      <c r="C34" s="58" t="str">
        <f>IF(AND(OR(Fin_Analysis!I26&lt;0.8,Fin_Analysis!I46&lt;0.6),Data!C56&lt;0.8),"Strongly disagree",
IF(AND(OR(Fin_Analysis!I26&lt;1,Fin_Analysis!I46&lt;0.8),Data!C56&lt;1),"unclear", IF(AND(OR(Fin_Analysis!I26&lt;1.4,Fin_Analysis!I46&lt;1.2),Data!C56&lt;1.4),"agree","Strongly agree")))</f>
        <v>agree</v>
      </c>
    </row>
    <row r="35" spans="1:4" ht="15.75" customHeight="1" x14ac:dyDescent="0.35">
      <c r="B35" s="83" t="s">
        <v>258</v>
      </c>
      <c r="C35" s="285"/>
      <c r="D35" s="285"/>
    </row>
    <row r="36" spans="1:4" ht="15.75" customHeight="1" x14ac:dyDescent="0.35">
      <c r="B36" s="56" t="s">
        <v>210</v>
      </c>
      <c r="C36" s="112" t="str">
        <f>Inputs!C18</f>
        <v>unclear</v>
      </c>
    </row>
    <row r="37" spans="1:4" ht="15.75" customHeight="1" x14ac:dyDescent="0.35">
      <c r="B37" s="56" t="s">
        <v>211</v>
      </c>
      <c r="C37" s="112" t="str">
        <f>Inputs!C19</f>
        <v>agree</v>
      </c>
    </row>
    <row r="38" spans="1:4" ht="15.75" customHeight="1" x14ac:dyDescent="0.35">
      <c r="B38" s="83" t="s">
        <v>199</v>
      </c>
      <c r="C38" s="285"/>
      <c r="D38" s="285"/>
    </row>
    <row r="39" spans="1:4" ht="15.75" customHeight="1" x14ac:dyDescent="0.35">
      <c r="B39" s="57" t="s">
        <v>200</v>
      </c>
      <c r="C39" s="112" t="str">
        <f>Inputs!C20</f>
        <v>agree</v>
      </c>
    </row>
    <row r="40" spans="1:4" ht="15.75" customHeight="1" x14ac:dyDescent="0.35">
      <c r="B40" s="2" t="s">
        <v>203</v>
      </c>
      <c r="C40" s="112" t="str">
        <f>Inputs!C21</f>
        <v>Strongly agree</v>
      </c>
    </row>
    <row r="41" spans="1:4" ht="15.75" customHeight="1" x14ac:dyDescent="0.35"/>
    <row r="42" spans="1:4" ht="15.75" customHeight="1" x14ac:dyDescent="0.35">
      <c r="A42" s="4"/>
      <c r="B42" s="5" t="s">
        <v>201</v>
      </c>
    </row>
    <row r="43" spans="1:4" ht="58.15" x14ac:dyDescent="0.35">
      <c r="B43" s="59" t="s">
        <v>202</v>
      </c>
      <c r="C43" s="113" t="str">
        <f>Inputs!C22</f>
        <v>Consumer Monopoly</v>
      </c>
    </row>
    <row r="44" spans="1:4" ht="15.75" customHeight="1" x14ac:dyDescent="0.35"/>
    <row r="45" spans="1:4" ht="15.75" customHeight="1" x14ac:dyDescent="0.35"/>
    <row r="46" spans="1:4" ht="15.75" customHeight="1" x14ac:dyDescent="0.35"/>
    <row r="47" spans="1:4" ht="15.75" customHeight="1" x14ac:dyDescent="0.35"/>
    <row r="48" spans="1:4" ht="15.75" customHeight="1" x14ac:dyDescent="0.35"/>
    <row r="49" s="2" customFormat="1" ht="15.75" customHeight="1" x14ac:dyDescent="0.35"/>
    <row r="50" s="2" customFormat="1" ht="15.75" customHeight="1" x14ac:dyDescent="0.35"/>
    <row r="51" s="2" customFormat="1" ht="15.75" customHeight="1" x14ac:dyDescent="0.35"/>
    <row r="52" s="2" customFormat="1" ht="15.75" customHeight="1" x14ac:dyDescent="0.35"/>
    <row r="53" s="2" customFormat="1" ht="15.75" customHeight="1" x14ac:dyDescent="0.35"/>
    <row r="54" s="2" customFormat="1" ht="15.75" customHeight="1" x14ac:dyDescent="0.35"/>
    <row r="55" s="2" customFormat="1" ht="15.75" customHeight="1" x14ac:dyDescent="0.35"/>
    <row r="56" s="2" customFormat="1" ht="15.75" customHeight="1" x14ac:dyDescent="0.35"/>
    <row r="57" s="2" customFormat="1" ht="15.75" customHeight="1" x14ac:dyDescent="0.35"/>
    <row r="58" s="2" customFormat="1" ht="15.75" customHeight="1" x14ac:dyDescent="0.35"/>
    <row r="59" s="2" customFormat="1" ht="15.75" customHeight="1" x14ac:dyDescent="0.35"/>
    <row r="60" s="2" customFormat="1" ht="15.75" customHeight="1" x14ac:dyDescent="0.35"/>
    <row r="61" s="2" customFormat="1" ht="15.75" customHeight="1" x14ac:dyDescent="0.35"/>
    <row r="62" s="2" customFormat="1" ht="15.75" customHeight="1" x14ac:dyDescent="0.35"/>
    <row r="63" s="2" customFormat="1" ht="15.75" customHeight="1" x14ac:dyDescent="0.35"/>
    <row r="64" s="2" customFormat="1" ht="15.75" customHeight="1" x14ac:dyDescent="0.35"/>
    <row r="65" s="2" customFormat="1" ht="15.75" customHeight="1" x14ac:dyDescent="0.35"/>
    <row r="66" s="2" customFormat="1" ht="15.75" customHeight="1" x14ac:dyDescent="0.35"/>
    <row r="67" s="2" customFormat="1" ht="15.75" customHeight="1" x14ac:dyDescent="0.35"/>
    <row r="68" s="2" customFormat="1" ht="15.75" customHeight="1" x14ac:dyDescent="0.35"/>
    <row r="69" s="2" customFormat="1" ht="15.75" customHeight="1" x14ac:dyDescent="0.35"/>
    <row r="70" s="2" customFormat="1" ht="15.75" customHeight="1" x14ac:dyDescent="0.35"/>
    <row r="71" s="2" customFormat="1" ht="15.75" customHeight="1" x14ac:dyDescent="0.35"/>
    <row r="72" s="2" customFormat="1" ht="15.75" customHeight="1" x14ac:dyDescent="0.35"/>
    <row r="73" s="2" customFormat="1" ht="15.75" customHeight="1" x14ac:dyDescent="0.35"/>
    <row r="74" s="2" customFormat="1" ht="15.75" customHeight="1" x14ac:dyDescent="0.35"/>
    <row r="75" s="2" customFormat="1" ht="15.75" customHeight="1" x14ac:dyDescent="0.35"/>
    <row r="76" s="2" customFormat="1" ht="15.75" customHeight="1" x14ac:dyDescent="0.35"/>
    <row r="77" s="2" customFormat="1" ht="15.75" customHeight="1" x14ac:dyDescent="0.35"/>
    <row r="78" s="2" customFormat="1" ht="15.75" customHeight="1" x14ac:dyDescent="0.35"/>
    <row r="79" s="2" customFormat="1" ht="15.75" customHeight="1" x14ac:dyDescent="0.35"/>
    <row r="80" s="2" customFormat="1" ht="15.75" customHeight="1" x14ac:dyDescent="0.35"/>
    <row r="81" s="2" customFormat="1" ht="15.75" customHeight="1" x14ac:dyDescent="0.35"/>
    <row r="82" s="2" customFormat="1" ht="15.75" customHeight="1" x14ac:dyDescent="0.35"/>
    <row r="83" s="2" customFormat="1" ht="15.75" customHeight="1" x14ac:dyDescent="0.35"/>
    <row r="84" s="2" customFormat="1" ht="15.75" customHeight="1" x14ac:dyDescent="0.35"/>
    <row r="85" s="2" customFormat="1" ht="15.75" customHeight="1" x14ac:dyDescent="0.35"/>
    <row r="86" s="2" customFormat="1" ht="15.75" customHeight="1" x14ac:dyDescent="0.35"/>
    <row r="87" s="2" customFormat="1" ht="15.75" customHeight="1" x14ac:dyDescent="0.35"/>
    <row r="88" s="2" customFormat="1" ht="15.75" customHeight="1" x14ac:dyDescent="0.35"/>
    <row r="89" s="2" customFormat="1" ht="15.75" customHeight="1" x14ac:dyDescent="0.35"/>
    <row r="90" s="2" customFormat="1" ht="15.75" customHeight="1" x14ac:dyDescent="0.35"/>
    <row r="91" s="2" customFormat="1" ht="15.75" customHeight="1" x14ac:dyDescent="0.35"/>
    <row r="92" s="2" customFormat="1" ht="15.75" customHeight="1" x14ac:dyDescent="0.35"/>
    <row r="93" s="2" customFormat="1" ht="15.75" customHeight="1" x14ac:dyDescent="0.35"/>
    <row r="94" s="2" customFormat="1" ht="15.75" customHeight="1" x14ac:dyDescent="0.35"/>
    <row r="95" s="2" customFormat="1" ht="15.75" customHeight="1" x14ac:dyDescent="0.35"/>
    <row r="96" s="2" customFormat="1" ht="15.75" customHeight="1" x14ac:dyDescent="0.35"/>
    <row r="97" s="2" customFormat="1" ht="15.75" customHeight="1" x14ac:dyDescent="0.35"/>
    <row r="98" s="2" customFormat="1" ht="15.75" customHeight="1" x14ac:dyDescent="0.35"/>
    <row r="99" s="2" customFormat="1" ht="15.75" customHeight="1" x14ac:dyDescent="0.35"/>
    <row r="100" s="2" customFormat="1" ht="15.75" customHeight="1" x14ac:dyDescent="0.35"/>
    <row r="101" s="2" customFormat="1" ht="15.75" customHeight="1" x14ac:dyDescent="0.35"/>
    <row r="102" s="2" customFormat="1" ht="15.75" customHeight="1" x14ac:dyDescent="0.35"/>
    <row r="103" s="2" customFormat="1" ht="15.75" customHeight="1" x14ac:dyDescent="0.35"/>
    <row r="104" s="2" customFormat="1" ht="15.75" customHeight="1" x14ac:dyDescent="0.35"/>
    <row r="105" s="2" customFormat="1" ht="15.75" customHeight="1" x14ac:dyDescent="0.35"/>
    <row r="106" s="2" customFormat="1" ht="15.75" customHeight="1" x14ac:dyDescent="0.35"/>
    <row r="107" s="2" customFormat="1" ht="15.75" customHeight="1" x14ac:dyDescent="0.35"/>
    <row r="108" s="2" customFormat="1" ht="15.75" customHeight="1" x14ac:dyDescent="0.35"/>
    <row r="109" s="2" customFormat="1" ht="15.75" customHeight="1" x14ac:dyDescent="0.35"/>
    <row r="110" s="2" customFormat="1" ht="15.75" customHeight="1" x14ac:dyDescent="0.35"/>
    <row r="111" s="2" customFormat="1" ht="15.75" customHeight="1" x14ac:dyDescent="0.35"/>
    <row r="112" s="2" customFormat="1" ht="15.75" customHeight="1" x14ac:dyDescent="0.35"/>
    <row r="113" s="2" customFormat="1" ht="15.75" customHeight="1" x14ac:dyDescent="0.35"/>
    <row r="114" s="2" customFormat="1" ht="15.75" customHeight="1" x14ac:dyDescent="0.35"/>
    <row r="115" s="2" customFormat="1" ht="15.75" customHeight="1" x14ac:dyDescent="0.35"/>
    <row r="116" s="2" customFormat="1" ht="15.75" customHeight="1" x14ac:dyDescent="0.35"/>
    <row r="117" s="2" customFormat="1" ht="15.75" customHeight="1" x14ac:dyDescent="0.35"/>
    <row r="118" s="2" customFormat="1" ht="15.75" customHeight="1" x14ac:dyDescent="0.35"/>
    <row r="119" s="2" customFormat="1" ht="15.75" customHeight="1" x14ac:dyDescent="0.35"/>
    <row r="120" s="2" customFormat="1" ht="15.75" customHeight="1" x14ac:dyDescent="0.35"/>
    <row r="121" s="2" customFormat="1" ht="15.75" customHeight="1" x14ac:dyDescent="0.35"/>
    <row r="122" s="2" customFormat="1" ht="15.75" customHeight="1" x14ac:dyDescent="0.35"/>
    <row r="123" s="2" customFormat="1" ht="15.75" customHeight="1" x14ac:dyDescent="0.35"/>
    <row r="124" s="2" customFormat="1" ht="15.75" customHeight="1" x14ac:dyDescent="0.35"/>
    <row r="125" s="2" customFormat="1" ht="15.75" customHeight="1" x14ac:dyDescent="0.35"/>
    <row r="126" s="2" customFormat="1" ht="15.75" customHeight="1" x14ac:dyDescent="0.35"/>
    <row r="127" s="2" customFormat="1" ht="15.75" customHeight="1" x14ac:dyDescent="0.35"/>
    <row r="128" s="2" customFormat="1" ht="15.75" customHeight="1" x14ac:dyDescent="0.35"/>
    <row r="129" s="2" customFormat="1" ht="15.75" customHeight="1" x14ac:dyDescent="0.35"/>
    <row r="130" s="2" customFormat="1" ht="15.75" customHeight="1" x14ac:dyDescent="0.35"/>
    <row r="131" s="2" customFormat="1" ht="15.75" customHeight="1" x14ac:dyDescent="0.35"/>
    <row r="132" s="2" customFormat="1" ht="15.75" customHeight="1" x14ac:dyDescent="0.35"/>
    <row r="133" s="2" customFormat="1" ht="15.75" customHeight="1" x14ac:dyDescent="0.35"/>
    <row r="134" s="2" customFormat="1" ht="15.75" customHeight="1" x14ac:dyDescent="0.35"/>
    <row r="135" s="2" customFormat="1" ht="15.75" customHeight="1" x14ac:dyDescent="0.35"/>
    <row r="136" s="2" customFormat="1" ht="15.75" customHeight="1" x14ac:dyDescent="0.35"/>
    <row r="137" s="2" customFormat="1" ht="15.75" customHeight="1" x14ac:dyDescent="0.35"/>
    <row r="138" s="2" customFormat="1" ht="15.75" customHeight="1" x14ac:dyDescent="0.35"/>
    <row r="139" s="2" customFormat="1" ht="15.75" customHeight="1" x14ac:dyDescent="0.35"/>
    <row r="140" s="2" customFormat="1" ht="15.75" customHeight="1" x14ac:dyDescent="0.35"/>
    <row r="141" s="2" customFormat="1" ht="15.75" customHeight="1" x14ac:dyDescent="0.35"/>
    <row r="142" s="2" customFormat="1" ht="15.75" customHeight="1" x14ac:dyDescent="0.35"/>
    <row r="143" s="2" customFormat="1" ht="15.75" customHeight="1" x14ac:dyDescent="0.35"/>
    <row r="144" s="2" customFormat="1" ht="15.75" customHeight="1" x14ac:dyDescent="0.35"/>
    <row r="145" s="2" customFormat="1" ht="15.75" customHeight="1" x14ac:dyDescent="0.35"/>
    <row r="146" s="2" customFormat="1" ht="15.75" customHeight="1" x14ac:dyDescent="0.35"/>
    <row r="147" s="2" customFormat="1" ht="15.75" customHeight="1" x14ac:dyDescent="0.35"/>
    <row r="148" s="2" customFormat="1" ht="15.75" customHeight="1" x14ac:dyDescent="0.35"/>
    <row r="149" s="2" customFormat="1" ht="15.75" customHeight="1" x14ac:dyDescent="0.35"/>
    <row r="150" s="2" customFormat="1" ht="15.75" customHeight="1" x14ac:dyDescent="0.35"/>
    <row r="151" s="2" customFormat="1" ht="15.75" customHeight="1" x14ac:dyDescent="0.35"/>
    <row r="152" s="2" customFormat="1" ht="15.75" customHeight="1" x14ac:dyDescent="0.35"/>
    <row r="153" s="2" customFormat="1" ht="15.75" customHeight="1" x14ac:dyDescent="0.35"/>
    <row r="154" s="2" customFormat="1" ht="15.75" customHeight="1" x14ac:dyDescent="0.35"/>
    <row r="155" s="2" customFormat="1" ht="15.75" customHeight="1" x14ac:dyDescent="0.35"/>
    <row r="156" s="2" customFormat="1" ht="15.75" customHeight="1" x14ac:dyDescent="0.35"/>
    <row r="157" s="2" customFormat="1" ht="15.75" customHeight="1" x14ac:dyDescent="0.35"/>
    <row r="158" s="2" customFormat="1" ht="15.75" customHeight="1" x14ac:dyDescent="0.35"/>
    <row r="159" s="2" customFormat="1" ht="15.75" customHeight="1" x14ac:dyDescent="0.35"/>
    <row r="160" s="2" customFormat="1" ht="15.75" customHeight="1" x14ac:dyDescent="0.35"/>
    <row r="161" s="2" customFormat="1" ht="15.75" customHeight="1" x14ac:dyDescent="0.35"/>
    <row r="162" s="2" customFormat="1" ht="15.75" customHeight="1" x14ac:dyDescent="0.35"/>
    <row r="163" s="2" customFormat="1" ht="15.75" customHeight="1" x14ac:dyDescent="0.35"/>
    <row r="164" s="2" customFormat="1" ht="15.75" customHeight="1" x14ac:dyDescent="0.35"/>
    <row r="165" s="2" customFormat="1" ht="15.75" customHeight="1" x14ac:dyDescent="0.35"/>
    <row r="166" s="2" customFormat="1" ht="15.75" customHeight="1" x14ac:dyDescent="0.35"/>
    <row r="167" s="2" customFormat="1" ht="15.75" customHeight="1" x14ac:dyDescent="0.35"/>
    <row r="168" s="2" customFormat="1" ht="15.75" customHeight="1" x14ac:dyDescent="0.35"/>
    <row r="169" s="2" customFormat="1" ht="15.75" customHeight="1" x14ac:dyDescent="0.35"/>
    <row r="170" s="2" customFormat="1" ht="15.75" customHeight="1" x14ac:dyDescent="0.35"/>
    <row r="171" s="2" customFormat="1" ht="15.75" customHeight="1" x14ac:dyDescent="0.35"/>
    <row r="172" s="2" customFormat="1" ht="15.75" customHeight="1" x14ac:dyDescent="0.35"/>
    <row r="173" s="2" customFormat="1" ht="15.75" customHeight="1" x14ac:dyDescent="0.35"/>
    <row r="174" s="2" customFormat="1" ht="15.75" customHeight="1" x14ac:dyDescent="0.35"/>
    <row r="175" s="2" customFormat="1" ht="15.75" customHeight="1" x14ac:dyDescent="0.35"/>
    <row r="176" s="2" customFormat="1" ht="15.75" customHeight="1" x14ac:dyDescent="0.35"/>
    <row r="177" s="2" customFormat="1" ht="15.75" customHeight="1" x14ac:dyDescent="0.35"/>
    <row r="178" s="2" customFormat="1" ht="15.75" customHeight="1" x14ac:dyDescent="0.35"/>
    <row r="179" s="2" customFormat="1" ht="15.75" customHeight="1" x14ac:dyDescent="0.35"/>
    <row r="180" s="2" customFormat="1" ht="15.75" customHeight="1" x14ac:dyDescent="0.35"/>
    <row r="181" s="2" customFormat="1" ht="15.75" customHeight="1" x14ac:dyDescent="0.35"/>
    <row r="182" s="2" customFormat="1" ht="15.75" customHeight="1" x14ac:dyDescent="0.35"/>
    <row r="183" s="2" customFormat="1" ht="15.75" customHeight="1" x14ac:dyDescent="0.35"/>
    <row r="184" s="2" customFormat="1" ht="15.75" customHeight="1" x14ac:dyDescent="0.35"/>
    <row r="185" s="2" customFormat="1" ht="15.75" customHeight="1" x14ac:dyDescent="0.35"/>
    <row r="186" s="2" customFormat="1" ht="15.75" customHeight="1" x14ac:dyDescent="0.35"/>
    <row r="187" s="2" customFormat="1" ht="15.75" customHeight="1" x14ac:dyDescent="0.35"/>
    <row r="188" s="2" customFormat="1" ht="15.75" customHeight="1" x14ac:dyDescent="0.35"/>
    <row r="189" s="2" customFormat="1" ht="15.75" customHeight="1" x14ac:dyDescent="0.35"/>
    <row r="190" s="2" customFormat="1" ht="15.75" customHeight="1" x14ac:dyDescent="0.35"/>
    <row r="191" s="2" customFormat="1" ht="15.75" customHeight="1" x14ac:dyDescent="0.35"/>
    <row r="192" s="2" customFormat="1" ht="15.75" customHeight="1" x14ac:dyDescent="0.35"/>
    <row r="193" s="2" customFormat="1" ht="15.75" customHeight="1" x14ac:dyDescent="0.35"/>
    <row r="194" s="2" customFormat="1" ht="15.75" customHeight="1" x14ac:dyDescent="0.35"/>
    <row r="195" s="2" customFormat="1" ht="15.75" customHeight="1" x14ac:dyDescent="0.35"/>
    <row r="196" s="2" customFormat="1" ht="15.75" customHeight="1" x14ac:dyDescent="0.35"/>
    <row r="197" s="2" customFormat="1" ht="15.75" customHeight="1" x14ac:dyDescent="0.35"/>
    <row r="198" s="2" customFormat="1" ht="15.75" customHeight="1" x14ac:dyDescent="0.35"/>
    <row r="199" s="2" customFormat="1" ht="15.75" customHeight="1" x14ac:dyDescent="0.35"/>
    <row r="200" s="2" customFormat="1" ht="15.75" customHeight="1" x14ac:dyDescent="0.35"/>
    <row r="201" s="2" customFormat="1" ht="15.75" customHeight="1" x14ac:dyDescent="0.35"/>
    <row r="202" s="2" customFormat="1" ht="15.75" customHeight="1" x14ac:dyDescent="0.35"/>
    <row r="203" s="2" customFormat="1" ht="15.75" customHeight="1" x14ac:dyDescent="0.35"/>
    <row r="204" s="2" customFormat="1" ht="15.75" customHeight="1" x14ac:dyDescent="0.35"/>
    <row r="205" s="2" customFormat="1" ht="15.75" customHeight="1" x14ac:dyDescent="0.35"/>
    <row r="206" s="2" customFormat="1" ht="15.75" customHeight="1" x14ac:dyDescent="0.35"/>
    <row r="207" s="2" customFormat="1" ht="15.75" customHeight="1" x14ac:dyDescent="0.35"/>
    <row r="208" s="2" customFormat="1" ht="15.75" customHeight="1" x14ac:dyDescent="0.35"/>
    <row r="209" s="2" customFormat="1" ht="15.75" customHeight="1" x14ac:dyDescent="0.35"/>
    <row r="210" s="2" customFormat="1" ht="15.75" customHeight="1" x14ac:dyDescent="0.35"/>
    <row r="211" s="2" customFormat="1" ht="15.75" customHeight="1" x14ac:dyDescent="0.35"/>
    <row r="212" s="2" customFormat="1" ht="15.75" customHeight="1" x14ac:dyDescent="0.35"/>
    <row r="213" s="2" customFormat="1" ht="15.75" customHeight="1" x14ac:dyDescent="0.35"/>
    <row r="214" s="2" customFormat="1" ht="15.75" customHeight="1" x14ac:dyDescent="0.35"/>
    <row r="215" s="2" customFormat="1" ht="15.75" customHeight="1" x14ac:dyDescent="0.35"/>
    <row r="216" s="2" customFormat="1" ht="15.75" customHeight="1" x14ac:dyDescent="0.35"/>
    <row r="217" s="2" customFormat="1" ht="15.75" customHeight="1" x14ac:dyDescent="0.35"/>
    <row r="218" s="2" customFormat="1" ht="15.75" customHeight="1" x14ac:dyDescent="0.35"/>
    <row r="219" s="2" customFormat="1" ht="15.75" customHeight="1" x14ac:dyDescent="0.35"/>
    <row r="220" s="2" customFormat="1" ht="15.75" customHeight="1" x14ac:dyDescent="0.35"/>
    <row r="221" s="2" customFormat="1" ht="15.75" customHeight="1" x14ac:dyDescent="0.35"/>
    <row r="222" s="2" customFormat="1" ht="15.75" customHeight="1" x14ac:dyDescent="0.35"/>
    <row r="223" s="2" customFormat="1" ht="15.75" customHeight="1" x14ac:dyDescent="0.35"/>
    <row r="224" s="2" customFormat="1" ht="15.75" customHeight="1" x14ac:dyDescent="0.35"/>
    <row r="225" s="2" customFormat="1" ht="15.75" customHeight="1" x14ac:dyDescent="0.35"/>
    <row r="226" s="2" customFormat="1" ht="15.75" customHeight="1" x14ac:dyDescent="0.35"/>
    <row r="227" s="2" customFormat="1" ht="15.75" customHeight="1" x14ac:dyDescent="0.35"/>
    <row r="228" s="2" customFormat="1" ht="15.75" customHeight="1" x14ac:dyDescent="0.35"/>
    <row r="229" s="2" customFormat="1" ht="15.75" customHeight="1" x14ac:dyDescent="0.35"/>
    <row r="230" s="2" customFormat="1" ht="15.75" customHeight="1" x14ac:dyDescent="0.35"/>
    <row r="231" s="2" customFormat="1" ht="15.75" customHeight="1" x14ac:dyDescent="0.35"/>
    <row r="232" s="2" customFormat="1" ht="15.75" customHeight="1" x14ac:dyDescent="0.35"/>
    <row r="233" s="2" customFormat="1" ht="15.75" customHeight="1" x14ac:dyDescent="0.35"/>
    <row r="234" s="2" customFormat="1" ht="15.75" customHeight="1" x14ac:dyDescent="0.35"/>
    <row r="235" s="2" customFormat="1" ht="15.75" customHeight="1" x14ac:dyDescent="0.35"/>
    <row r="236" s="2" customFormat="1" ht="15.75" customHeight="1" x14ac:dyDescent="0.35"/>
    <row r="237" s="2" customFormat="1" ht="15.75" customHeight="1" x14ac:dyDescent="0.35"/>
    <row r="238" s="2" customFormat="1" ht="15.75" customHeight="1" x14ac:dyDescent="0.35"/>
    <row r="239" s="2" customFormat="1" ht="15.75" customHeight="1" x14ac:dyDescent="0.35"/>
    <row r="240" s="2" customFormat="1" ht="15.75" customHeight="1" x14ac:dyDescent="0.35"/>
    <row r="241" s="2" customFormat="1" ht="15.75" customHeight="1" x14ac:dyDescent="0.35"/>
    <row r="242" s="2" customFormat="1" ht="15.75" customHeight="1" x14ac:dyDescent="0.35"/>
    <row r="243" s="2" customFormat="1" ht="15.75" customHeight="1" x14ac:dyDescent="0.35"/>
    <row r="244" s="2" customFormat="1" ht="15.75" customHeight="1" x14ac:dyDescent="0.35"/>
    <row r="245" s="2" customFormat="1" ht="15.75" customHeight="1" x14ac:dyDescent="0.35"/>
    <row r="246" s="2" customFormat="1" ht="15.75" customHeight="1" x14ac:dyDescent="0.35"/>
    <row r="247" s="2" customFormat="1" ht="15.75" customHeight="1" x14ac:dyDescent="0.35"/>
    <row r="248" s="2" customFormat="1" ht="15.75" customHeight="1" x14ac:dyDescent="0.35"/>
    <row r="249" s="2" customFormat="1" ht="15.75" customHeight="1" x14ac:dyDescent="0.35"/>
    <row r="250" s="2" customFormat="1" ht="15.75" customHeight="1" x14ac:dyDescent="0.35"/>
    <row r="251" s="2" customFormat="1" ht="15.75" customHeight="1" x14ac:dyDescent="0.35"/>
    <row r="252" s="2" customFormat="1" ht="15.75" customHeight="1" x14ac:dyDescent="0.35"/>
    <row r="253" s="2" customFormat="1" ht="15.75" customHeight="1" x14ac:dyDescent="0.35"/>
    <row r="254" s="2" customFormat="1" ht="15.75" customHeight="1" x14ac:dyDescent="0.35"/>
    <row r="255" s="2" customFormat="1" ht="15.75" customHeight="1" x14ac:dyDescent="0.35"/>
    <row r="256" s="2" customFormat="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</sheetData>
  <mergeCells count="9">
    <mergeCell ref="G28:H28"/>
    <mergeCell ref="G29:H29"/>
    <mergeCell ref="G5:H5"/>
    <mergeCell ref="G6:H6"/>
    <mergeCell ref="C3:D3"/>
    <mergeCell ref="C4:D4"/>
    <mergeCell ref="C5:D5"/>
    <mergeCell ref="G4:H4"/>
    <mergeCell ref="G2:H2"/>
  </mergeCells>
  <phoneticPr fontId="3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2"/>
  <sheetViews>
    <sheetView showGridLines="0" zoomScaleNormal="100" workbookViewId="0">
      <pane xSplit="2" topLeftCell="C1" activePane="topRight" state="frozen"/>
      <selection activeCell="A4" sqref="A4"/>
      <selection pane="topRight" activeCell="C36" sqref="C36"/>
    </sheetView>
  </sheetViews>
  <sheetFormatPr defaultColWidth="12.33203125" defaultRowHeight="15" customHeight="1" x14ac:dyDescent="0.35"/>
  <cols>
    <col min="1" max="1" width="1.33203125" style="2" customWidth="1"/>
    <col min="2" max="2" width="26.33203125" style="2" customWidth="1"/>
    <col min="3" max="13" width="24.6640625" style="2" customWidth="1"/>
    <col min="14" max="16384" width="12.33203125" style="2"/>
  </cols>
  <sheetData>
    <row r="1" spans="1:14" ht="8.25" customHeight="1" x14ac:dyDescent="0.35">
      <c r="A1" s="126"/>
      <c r="B1" s="127"/>
      <c r="C1" s="128"/>
      <c r="D1" s="128"/>
      <c r="E1" s="128"/>
      <c r="F1" s="128"/>
    </row>
    <row r="2" spans="1:14" ht="15.75" customHeight="1" x14ac:dyDescent="0.35">
      <c r="A2" s="129"/>
      <c r="B2" s="5" t="s">
        <v>9</v>
      </c>
      <c r="C2" s="130"/>
      <c r="D2" s="131"/>
      <c r="E2" s="132" t="s">
        <v>173</v>
      </c>
      <c r="F2" s="133" t="s">
        <v>176</v>
      </c>
      <c r="G2" s="132" t="s">
        <v>177</v>
      </c>
      <c r="H2" s="134" t="s">
        <v>178</v>
      </c>
      <c r="I2" s="7"/>
      <c r="J2" s="3"/>
      <c r="K2" s="7"/>
      <c r="L2" s="7"/>
      <c r="M2" s="7"/>
    </row>
    <row r="3" spans="1:14" ht="15.75" customHeight="1" x14ac:dyDescent="0.35">
      <c r="A3" s="135"/>
      <c r="B3" s="136" t="s">
        <v>10</v>
      </c>
      <c r="C3" s="137">
        <f>Inputs!C12</f>
        <v>45382</v>
      </c>
      <c r="E3" s="138" t="s">
        <v>174</v>
      </c>
      <c r="F3" s="139">
        <f>H14</f>
        <v>1602523</v>
      </c>
      <c r="G3" s="139">
        <f>C14</f>
        <v>1876773</v>
      </c>
      <c r="H3" s="139">
        <v>6</v>
      </c>
      <c r="I3" s="3"/>
      <c r="J3" s="140"/>
      <c r="K3" s="3"/>
      <c r="L3" s="3"/>
      <c r="M3" s="3"/>
    </row>
    <row r="4" spans="1:14" ht="15.75" customHeight="1" x14ac:dyDescent="0.35">
      <c r="A4" s="135"/>
      <c r="B4" s="136" t="s">
        <v>11</v>
      </c>
      <c r="C4" s="13">
        <f>Inputs!C13</f>
        <v>1000</v>
      </c>
      <c r="D4" s="2" t="str">
        <f>Dashboard!G6</f>
        <v>HKD</v>
      </c>
      <c r="E4" s="138" t="s">
        <v>175</v>
      </c>
      <c r="F4" s="141">
        <f>(G3/F3)^(1/H3)-1</f>
        <v>2.6678764368153862E-2</v>
      </c>
      <c r="J4" s="3"/>
    </row>
    <row r="5" spans="1:14" ht="15.75" customHeight="1" x14ac:dyDescent="0.35">
      <c r="A5" s="129"/>
      <c r="B5" s="76" t="s">
        <v>122</v>
      </c>
      <c r="C5" s="286">
        <f>C3</f>
        <v>45382</v>
      </c>
      <c r="D5" s="287">
        <f>EOMONTH(EDATE(C5,-12),0)</f>
        <v>45016</v>
      </c>
      <c r="E5" s="287">
        <f t="shared" ref="E5:M5" si="0">EOMONTH(EDATE(D5,-12),0)</f>
        <v>44651</v>
      </c>
      <c r="F5" s="287">
        <f t="shared" si="0"/>
        <v>44286</v>
      </c>
      <c r="G5" s="287">
        <f t="shared" si="0"/>
        <v>43921</v>
      </c>
      <c r="H5" s="287">
        <f t="shared" si="0"/>
        <v>43555</v>
      </c>
      <c r="I5" s="287">
        <f t="shared" si="0"/>
        <v>43190</v>
      </c>
      <c r="J5" s="287">
        <f t="shared" si="0"/>
        <v>42825</v>
      </c>
      <c r="K5" s="287">
        <f t="shared" si="0"/>
        <v>42460</v>
      </c>
      <c r="L5" s="287">
        <f t="shared" si="0"/>
        <v>42094</v>
      </c>
      <c r="M5" s="287">
        <f t="shared" si="0"/>
        <v>41729</v>
      </c>
    </row>
    <row r="6" spans="1:14" ht="15.75" customHeight="1" x14ac:dyDescent="0.35">
      <c r="A6" s="135"/>
      <c r="B6" s="263" t="s">
        <v>12</v>
      </c>
      <c r="C6" s="142">
        <f>IF(Inputs!C25=""," ",Inputs!C25)</f>
        <v>15325962</v>
      </c>
      <c r="D6" s="142">
        <f>IF(Inputs!D25="","",Inputs!D25)</f>
        <v>11977844</v>
      </c>
      <c r="E6" s="142">
        <f>IF(Inputs!E25="","",Inputs!E25)</f>
        <v>11737803</v>
      </c>
      <c r="F6" s="142">
        <f>IF(Inputs!F25="","",Inputs!F25)</f>
        <v>8861335</v>
      </c>
      <c r="G6" s="142">
        <f>IF(Inputs!G25="","",Inputs!G25)</f>
        <v>11233771</v>
      </c>
      <c r="H6" s="142">
        <f>IF(Inputs!H25="","",Inputs!H25)</f>
        <v>15859990</v>
      </c>
      <c r="I6" s="142" t="str">
        <f>IF(Inputs!I25="","",Inputs!I25)</f>
        <v/>
      </c>
      <c r="J6" s="142" t="str">
        <f>IF(Inputs!J25="","",Inputs!J25)</f>
        <v/>
      </c>
      <c r="K6" s="142" t="str">
        <f>IF(Inputs!K25="","",Inputs!K25)</f>
        <v/>
      </c>
      <c r="L6" s="142" t="str">
        <f>IF(Inputs!L25="","",Inputs!L25)</f>
        <v/>
      </c>
      <c r="M6" s="142" t="str">
        <f>IF(Inputs!M25="","",Inputs!M25)</f>
        <v/>
      </c>
      <c r="N6" s="3"/>
    </row>
    <row r="7" spans="1:14" ht="15.75" customHeight="1" x14ac:dyDescent="0.35">
      <c r="A7" s="135"/>
      <c r="B7" s="278" t="s">
        <v>13</v>
      </c>
      <c r="C7" s="143">
        <f t="shared" ref="C7:M7" si="1">IF(D6="","",C6/D6-1)</f>
        <v>0.27952593137796744</v>
      </c>
      <c r="D7" s="143">
        <f t="shared" si="1"/>
        <v>2.0450249505806095E-2</v>
      </c>
      <c r="E7" s="143">
        <f t="shared" si="1"/>
        <v>0.32460887665346139</v>
      </c>
      <c r="F7" s="143">
        <f t="shared" si="1"/>
        <v>-0.21118785490642455</v>
      </c>
      <c r="G7" s="143">
        <f t="shared" si="1"/>
        <v>-0.29169116752280422</v>
      </c>
      <c r="H7" s="143" t="str">
        <f t="shared" si="1"/>
        <v/>
      </c>
      <c r="I7" s="143" t="str">
        <f t="shared" si="1"/>
        <v/>
      </c>
      <c r="J7" s="143" t="str">
        <f t="shared" si="1"/>
        <v/>
      </c>
      <c r="K7" s="143" t="str">
        <f t="shared" si="1"/>
        <v/>
      </c>
      <c r="L7" s="143" t="str">
        <f t="shared" si="1"/>
        <v/>
      </c>
      <c r="M7" s="143" t="str">
        <f t="shared" si="1"/>
        <v/>
      </c>
      <c r="N7" s="3"/>
    </row>
    <row r="8" spans="1:14" ht="15.75" customHeight="1" x14ac:dyDescent="0.35">
      <c r="A8" s="135"/>
      <c r="B8" s="264" t="s">
        <v>98</v>
      </c>
      <c r="C8" s="144">
        <f>IF(Inputs!C26="","",Inputs!C26)</f>
        <v>11151623</v>
      </c>
      <c r="D8" s="144">
        <f>IF(Inputs!D26="","",Inputs!D26)</f>
        <v>8747447</v>
      </c>
      <c r="E8" s="144">
        <f>IF(Inputs!E26="","",Inputs!E26)</f>
        <v>8503976</v>
      </c>
      <c r="F8" s="144">
        <f>IF(Inputs!F26="","",Inputs!F26)</f>
        <v>6229020</v>
      </c>
      <c r="G8" s="144">
        <f>IF(Inputs!G26="","",Inputs!G26)</f>
        <v>7910751</v>
      </c>
      <c r="H8" s="144">
        <f>IF(Inputs!H26="","",Inputs!H26)</f>
        <v>11826154</v>
      </c>
      <c r="I8" s="144" t="str">
        <f>IF(Inputs!I26="","",Inputs!I26)</f>
        <v/>
      </c>
      <c r="J8" s="144" t="str">
        <f>IF(Inputs!J26="","",Inputs!J26)</f>
        <v/>
      </c>
      <c r="K8" s="144" t="str">
        <f>IF(Inputs!K26="","",Inputs!K26)</f>
        <v/>
      </c>
      <c r="L8" s="144" t="str">
        <f>IF(Inputs!L26="","",Inputs!L26)</f>
        <v/>
      </c>
      <c r="M8" s="144" t="str">
        <f>IF(Inputs!M26="","",Inputs!M26)</f>
        <v/>
      </c>
      <c r="N8" s="3"/>
    </row>
    <row r="9" spans="1:14" ht="15.75" customHeight="1" x14ac:dyDescent="0.35">
      <c r="A9" s="135"/>
      <c r="B9" s="272" t="s">
        <v>95</v>
      </c>
      <c r="C9" s="273">
        <f t="shared" ref="C9:M9" si="2">IF(C6="","",(C6-C8))</f>
        <v>4174339</v>
      </c>
      <c r="D9" s="273">
        <f t="shared" si="2"/>
        <v>3230397</v>
      </c>
      <c r="E9" s="273">
        <f t="shared" si="2"/>
        <v>3233827</v>
      </c>
      <c r="F9" s="273">
        <f t="shared" si="2"/>
        <v>2632315</v>
      </c>
      <c r="G9" s="273">
        <f t="shared" si="2"/>
        <v>3323020</v>
      </c>
      <c r="H9" s="273">
        <f t="shared" si="2"/>
        <v>4033836</v>
      </c>
      <c r="I9" s="273" t="str">
        <f t="shared" si="2"/>
        <v/>
      </c>
      <c r="J9" s="273" t="str">
        <f t="shared" si="2"/>
        <v/>
      </c>
      <c r="K9" s="273" t="str">
        <f t="shared" si="2"/>
        <v/>
      </c>
      <c r="L9" s="273" t="str">
        <f t="shared" si="2"/>
        <v/>
      </c>
      <c r="M9" s="273" t="str">
        <f t="shared" si="2"/>
        <v/>
      </c>
      <c r="N9" s="3"/>
    </row>
    <row r="10" spans="1:14" ht="15.75" customHeight="1" x14ac:dyDescent="0.35">
      <c r="A10" s="135"/>
      <c r="B10" s="264" t="s">
        <v>96</v>
      </c>
      <c r="C10" s="144">
        <f>IF(Inputs!C27="","",Inputs!C27)</f>
        <v>2297566</v>
      </c>
      <c r="D10" s="144">
        <f>IF(Inputs!D27="","",Inputs!D27)</f>
        <v>1867515</v>
      </c>
      <c r="E10" s="144">
        <f>IF(Inputs!E27="","",Inputs!E27)</f>
        <v>1815111</v>
      </c>
      <c r="F10" s="144">
        <f>IF(Inputs!F27="","",Inputs!F27)</f>
        <v>1694480</v>
      </c>
      <c r="G10" s="144">
        <f>IF(Inputs!G27="","",Inputs!G27)</f>
        <v>2118252</v>
      </c>
      <c r="H10" s="144">
        <f>IF(Inputs!H27="","",Inputs!H27)</f>
        <v>2416769</v>
      </c>
      <c r="I10" s="144" t="str">
        <f>IF(Inputs!I27="","",Inputs!I27)</f>
        <v/>
      </c>
      <c r="J10" s="144" t="str">
        <f>IF(Inputs!J27="","",Inputs!J27)</f>
        <v/>
      </c>
      <c r="K10" s="144" t="str">
        <f>IF(Inputs!K27="","",Inputs!K27)</f>
        <v/>
      </c>
      <c r="L10" s="144" t="str">
        <f>IF(Inputs!L27="","",Inputs!L27)</f>
        <v/>
      </c>
      <c r="M10" s="144" t="str">
        <f>IF(Inputs!M27="","",Inputs!M27)</f>
        <v/>
      </c>
      <c r="N10" s="3"/>
    </row>
    <row r="11" spans="1:14" ht="15.75" customHeight="1" x14ac:dyDescent="0.35">
      <c r="A11" s="135"/>
      <c r="B11" s="264" t="s">
        <v>99</v>
      </c>
      <c r="C11" s="144" t="str">
        <f>IF(Inputs!C28="","",Inputs!C28)</f>
        <v/>
      </c>
      <c r="D11" s="144" t="str">
        <f>IF(Inputs!D28="","",Inputs!D28)</f>
        <v/>
      </c>
      <c r="E11" s="144" t="str">
        <f>IF(Inputs!E28="","",Inputs!E28)</f>
        <v/>
      </c>
      <c r="F11" s="144" t="str">
        <f>IF(Inputs!F28="","",Inputs!F28)</f>
        <v/>
      </c>
      <c r="G11" s="144" t="str">
        <f>IF(Inputs!G28="","",Inputs!G28)</f>
        <v/>
      </c>
      <c r="H11" s="144" t="str">
        <f>IF(Inputs!H28="","",Inputs!H28)</f>
        <v/>
      </c>
      <c r="I11" s="144" t="str">
        <f>IF(Inputs!I28="","",Inputs!I28)</f>
        <v/>
      </c>
      <c r="J11" s="144" t="str">
        <f>IF(Inputs!J28="","",Inputs!J28)</f>
        <v/>
      </c>
      <c r="K11" s="144" t="str">
        <f>IF(Inputs!K28="","",Inputs!K28)</f>
        <v/>
      </c>
      <c r="L11" s="144" t="str">
        <f>IF(Inputs!L28="","",Inputs!L28)</f>
        <v/>
      </c>
      <c r="M11" s="144" t="str">
        <f>IF(Inputs!M28="","",Inputs!M28)</f>
        <v/>
      </c>
      <c r="N11" s="3"/>
    </row>
    <row r="12" spans="1:14" ht="15.75" customHeight="1" x14ac:dyDescent="0.35">
      <c r="A12" s="135"/>
      <c r="B12" s="266" t="s">
        <v>212</v>
      </c>
      <c r="C12" s="144">
        <f>IF(Inputs!C31="","",MAX(Inputs!C31,0)/(1-Fin_Analysis!$I$84))</f>
        <v>0</v>
      </c>
      <c r="D12" s="144">
        <f>IF(Inputs!D31="","",MAX(Inputs!D31,0)/(1-Fin_Analysis!$I$84))</f>
        <v>0</v>
      </c>
      <c r="E12" s="144">
        <f>IF(Inputs!E31="","",MAX(Inputs!E31,0)/(1-Fin_Analysis!$I$84))</f>
        <v>0</v>
      </c>
      <c r="F12" s="144">
        <f>IF(Inputs!F31="","",MAX(Inputs!F31,0)/(1-Fin_Analysis!$I$84))</f>
        <v>2398.6666666666665</v>
      </c>
      <c r="G12" s="144">
        <f>IF(Inputs!G31="","",MAX(Inputs!G31,0)/(1-Fin_Analysis!$I$84))</f>
        <v>1782.6666666666667</v>
      </c>
      <c r="H12" s="144">
        <f>IF(Inputs!H31="","",MAX(Inputs!H31,0)/(1-Fin_Analysis!$I$84))</f>
        <v>14544</v>
      </c>
      <c r="I12" s="144" t="str">
        <f>IF(Inputs!I31="","",MAX(Inputs!I31,0)/(1-Fin_Analysis!$I$84))</f>
        <v/>
      </c>
      <c r="J12" s="144" t="str">
        <f>IF(Inputs!J31="","",MAX(Inputs!J31,0)/(1-Fin_Analysis!$I$84))</f>
        <v/>
      </c>
      <c r="K12" s="144" t="str">
        <f>IF(Inputs!K31="","",MAX(Inputs!K31,0)/(1-Fin_Analysis!$I$84))</f>
        <v/>
      </c>
      <c r="L12" s="144" t="str">
        <f>IF(Inputs!L31="","",MAX(Inputs!L31,0)/(1-Fin_Analysis!$I$84))</f>
        <v/>
      </c>
      <c r="M12" s="144" t="str">
        <f>IF(Inputs!M31="","",MAX(Inputs!M31,0)/(1-Fin_Analysis!$I$84))</f>
        <v/>
      </c>
      <c r="N12" s="3"/>
    </row>
    <row r="13" spans="1:14" ht="15.75" customHeight="1" x14ac:dyDescent="0.35">
      <c r="A13" s="135"/>
      <c r="B13" s="291" t="s">
        <v>213</v>
      </c>
      <c r="C13" s="292">
        <f t="shared" ref="C13:M13" si="3">IF(C14="","",C14/C6)</f>
        <v>0.12245710905455723</v>
      </c>
      <c r="D13" s="292">
        <f t="shared" si="3"/>
        <v>0.11378358242100998</v>
      </c>
      <c r="E13" s="292">
        <f t="shared" si="3"/>
        <v>0.12086725258551366</v>
      </c>
      <c r="F13" s="292">
        <f t="shared" si="3"/>
        <v>0.10556381553494291</v>
      </c>
      <c r="G13" s="292">
        <f t="shared" si="3"/>
        <v>0.10708651024961549</v>
      </c>
      <c r="H13" s="292">
        <f t="shared" si="3"/>
        <v>0.10104186698730579</v>
      </c>
      <c r="I13" s="292" t="str">
        <f t="shared" si="3"/>
        <v/>
      </c>
      <c r="J13" s="292" t="str">
        <f t="shared" si="3"/>
        <v/>
      </c>
      <c r="K13" s="292" t="str">
        <f t="shared" si="3"/>
        <v/>
      </c>
      <c r="L13" s="292" t="str">
        <f t="shared" si="3"/>
        <v/>
      </c>
      <c r="M13" s="292" t="str">
        <f t="shared" si="3"/>
        <v/>
      </c>
      <c r="N13" s="3"/>
    </row>
    <row r="14" spans="1:14" ht="15.75" customHeight="1" x14ac:dyDescent="0.35">
      <c r="A14" s="135"/>
      <c r="B14" s="293" t="s">
        <v>205</v>
      </c>
      <c r="C14" s="294">
        <f>IF(C6="","",C9-C10-MAX(C11,0)-MAX(C12,0))</f>
        <v>1876773</v>
      </c>
      <c r="D14" s="294">
        <f t="shared" ref="D14:M14" si="4">IF(D6="","",D9-D10-MAX(D11,0)-MAX(D12,0))</f>
        <v>1362882</v>
      </c>
      <c r="E14" s="294">
        <f t="shared" si="4"/>
        <v>1418716</v>
      </c>
      <c r="F14" s="294">
        <f t="shared" si="4"/>
        <v>935436.33333333337</v>
      </c>
      <c r="G14" s="294">
        <f t="shared" si="4"/>
        <v>1202985.3333333333</v>
      </c>
      <c r="H14" s="294">
        <f t="shared" si="4"/>
        <v>1602523</v>
      </c>
      <c r="I14" s="294" t="str">
        <f t="shared" si="4"/>
        <v/>
      </c>
      <c r="J14" s="294" t="str">
        <f t="shared" si="4"/>
        <v/>
      </c>
      <c r="K14" s="294" t="str">
        <f t="shared" si="4"/>
        <v/>
      </c>
      <c r="L14" s="294" t="str">
        <f t="shared" si="4"/>
        <v/>
      </c>
      <c r="M14" s="294" t="str">
        <f t="shared" si="4"/>
        <v/>
      </c>
      <c r="N14" s="3"/>
    </row>
    <row r="15" spans="1:14" ht="15.75" customHeight="1" x14ac:dyDescent="0.35">
      <c r="A15" s="135"/>
      <c r="B15" s="295" t="s">
        <v>214</v>
      </c>
      <c r="C15" s="296">
        <f>IF(D14="","",IF(ABS(C14+D14)=ABS(C14)+ABS(D14),IF(C14&lt;0,-1,1)*(C14-D14)/D14,"Turn"))</f>
        <v>0.37706199069325153</v>
      </c>
      <c r="D15" s="296">
        <f t="shared" ref="D15:M15" si="5">IF(E14="","",IF(ABS(D14+E14)=ABS(D14)+ABS(E14),IF(D14&lt;0,-1,1)*(D14-E14)/E14,"Turn"))</f>
        <v>-3.9355304373814071E-2</v>
      </c>
      <c r="E15" s="296">
        <f t="shared" si="5"/>
        <v>0.51663555225030455</v>
      </c>
      <c r="F15" s="296">
        <f t="shared" si="5"/>
        <v>-0.22240420775426459</v>
      </c>
      <c r="G15" s="296">
        <f t="shared" si="5"/>
        <v>-0.24931789850546091</v>
      </c>
      <c r="H15" s="296" t="str">
        <f t="shared" si="5"/>
        <v/>
      </c>
      <c r="I15" s="296" t="str">
        <f t="shared" si="5"/>
        <v/>
      </c>
      <c r="J15" s="296" t="str">
        <f t="shared" si="5"/>
        <v/>
      </c>
      <c r="K15" s="296" t="str">
        <f t="shared" si="5"/>
        <v/>
      </c>
      <c r="L15" s="296" t="str">
        <f t="shared" si="5"/>
        <v/>
      </c>
      <c r="M15" s="296" t="str">
        <f t="shared" si="5"/>
        <v/>
      </c>
      <c r="N15" s="3"/>
    </row>
    <row r="16" spans="1:14" ht="15.75" customHeight="1" x14ac:dyDescent="0.35">
      <c r="A16" s="135"/>
      <c r="B16" s="264" t="s">
        <v>282</v>
      </c>
      <c r="C16" s="147">
        <f>IF(C17="","",C17-C14)</f>
        <v>-109468</v>
      </c>
      <c r="D16" s="147">
        <f t="shared" ref="D16:M16" si="6">IF(D17="","",D17-D14)</f>
        <v>-78125</v>
      </c>
      <c r="E16" s="147">
        <f t="shared" si="6"/>
        <v>-26352</v>
      </c>
      <c r="F16" s="147">
        <f t="shared" si="6"/>
        <v>81898.666666666628</v>
      </c>
      <c r="G16" s="147">
        <f t="shared" si="6"/>
        <v>-336670.33333333326</v>
      </c>
      <c r="H16" s="147" t="str">
        <f t="shared" si="6"/>
        <v/>
      </c>
      <c r="I16" s="147" t="str">
        <f t="shared" si="6"/>
        <v/>
      </c>
      <c r="J16" s="147" t="str">
        <f t="shared" si="6"/>
        <v/>
      </c>
      <c r="K16" s="147" t="str">
        <f t="shared" si="6"/>
        <v/>
      </c>
      <c r="L16" s="147" t="str">
        <f t="shared" si="6"/>
        <v/>
      </c>
      <c r="M16" s="147" t="str">
        <f t="shared" si="6"/>
        <v/>
      </c>
      <c r="N16" s="3"/>
    </row>
    <row r="17" spans="1:14" ht="15.75" customHeight="1" x14ac:dyDescent="0.35">
      <c r="A17" s="135"/>
      <c r="B17" s="306" t="s">
        <v>279</v>
      </c>
      <c r="C17" s="307">
        <f>IF(Inputs!C30="","",Inputs!C30)</f>
        <v>1767305</v>
      </c>
      <c r="D17" s="307">
        <f>IF(Inputs!D30="","",Inputs!D30)</f>
        <v>1284757</v>
      </c>
      <c r="E17" s="307">
        <f>IF(Inputs!E30="","",Inputs!E30)</f>
        <v>1392364</v>
      </c>
      <c r="F17" s="307">
        <f>IF(Inputs!F30="","",Inputs!F30)</f>
        <v>1017335</v>
      </c>
      <c r="G17" s="307">
        <f>IF(Inputs!G30="","",Inputs!G30)</f>
        <v>866315</v>
      </c>
      <c r="H17" s="307" t="str">
        <f>IF(Inputs!H30="","",Inputs!H30)</f>
        <v/>
      </c>
      <c r="I17" s="307" t="str">
        <f>IF(Inputs!I30="","",Inputs!I30)</f>
        <v/>
      </c>
      <c r="J17" s="307" t="str">
        <f>IF(Inputs!J30="","",Inputs!J30)</f>
        <v/>
      </c>
      <c r="K17" s="307" t="str">
        <f>IF(Inputs!K30="","",Inputs!K30)</f>
        <v/>
      </c>
      <c r="L17" s="307" t="str">
        <f>IF(Inputs!L30="","",Inputs!L30)</f>
        <v/>
      </c>
      <c r="M17" s="307" t="str">
        <f>IF(Inputs!M30="","",Inputs!M30)</f>
        <v/>
      </c>
      <c r="N17" s="3"/>
    </row>
    <row r="18" spans="1:14" ht="15.75" customHeight="1" x14ac:dyDescent="0.35">
      <c r="A18" s="135"/>
      <c r="B18" s="264" t="s">
        <v>102</v>
      </c>
      <c r="C18" s="144">
        <f>IF(Inputs!C32="","",Inputs!C32)</f>
        <v>626583</v>
      </c>
      <c r="D18" s="144">
        <f>IF(Inputs!D32="","",Inputs!D32)</f>
        <v>352099</v>
      </c>
      <c r="E18" s="144">
        <f>IF(Inputs!E32="","",Inputs!E32)</f>
        <v>1045251</v>
      </c>
      <c r="F18" s="144">
        <f>IF(Inputs!F32="","",Inputs!F32)</f>
        <v>-818677</v>
      </c>
      <c r="G18" s="144" t="str">
        <f>IF(Inputs!G32="","",Inputs!G32)</f>
        <v/>
      </c>
      <c r="H18" s="144" t="str">
        <f>IF(Inputs!H32="","",Inputs!H32)</f>
        <v/>
      </c>
      <c r="I18" s="144" t="str">
        <f>IF(Inputs!I32="","",Inputs!I32)</f>
        <v/>
      </c>
      <c r="J18" s="144" t="str">
        <f>IF(Inputs!J32="","",Inputs!J32)</f>
        <v/>
      </c>
      <c r="K18" s="144" t="str">
        <f>IF(Inputs!K32="","",Inputs!K32)</f>
        <v/>
      </c>
      <c r="L18" s="144" t="str">
        <f>IF(Inputs!L32="","",Inputs!L32)</f>
        <v/>
      </c>
      <c r="M18" s="144" t="str">
        <f>IF(Inputs!M32="","",Inputs!M32)</f>
        <v/>
      </c>
      <c r="N18" s="3"/>
    </row>
    <row r="19" spans="1:14" ht="15.75" customHeight="1" x14ac:dyDescent="0.35">
      <c r="A19" s="135"/>
      <c r="B19" s="264" t="s">
        <v>223</v>
      </c>
      <c r="C19" s="144">
        <f>IF(Inputs!C29="","",Inputs!C29)</f>
        <v>59596</v>
      </c>
      <c r="D19" s="144">
        <f>IF(Inputs!D29="","",Inputs!D29)</f>
        <v>20763</v>
      </c>
      <c r="E19" s="144">
        <f>IF(Inputs!E29="","",Inputs!E29)</f>
        <v>23097</v>
      </c>
      <c r="F19" s="144">
        <f>IF(Inputs!F29="","",Inputs!F29)</f>
        <v>28849</v>
      </c>
      <c r="G19" s="144">
        <f>IF(Inputs!G29="","",Inputs!G29)</f>
        <v>63075</v>
      </c>
      <c r="H19" s="144">
        <f>IF(Inputs!H29="","",Inputs!H29)</f>
        <v>34253</v>
      </c>
      <c r="I19" s="144" t="str">
        <f>IF(Inputs!I29="","",Inputs!I29)</f>
        <v/>
      </c>
      <c r="J19" s="144" t="str">
        <f>IF(Inputs!J29="","",Inputs!J29)</f>
        <v/>
      </c>
      <c r="K19" s="144" t="str">
        <f>IF(Inputs!K29="","",Inputs!K29)</f>
        <v/>
      </c>
      <c r="L19" s="144" t="str">
        <f>IF(Inputs!L29="","",Inputs!L29)</f>
        <v/>
      </c>
      <c r="M19" s="144" t="str">
        <f>IF(Inputs!M29="","",Inputs!M29)</f>
        <v/>
      </c>
      <c r="N19" s="3"/>
    </row>
    <row r="20" spans="1:14" ht="15.75" customHeight="1" x14ac:dyDescent="0.35">
      <c r="A20" s="135"/>
      <c r="B20" s="278" t="s">
        <v>91</v>
      </c>
      <c r="C20" s="227">
        <f t="shared" ref="C20:M20" si="7">IF(OR(C6="",C21=""),"",C21/C6)</f>
        <v>3.2137949970122592E-2</v>
      </c>
      <c r="D20" s="227">
        <f t="shared" si="7"/>
        <v>3.3905350578952269E-2</v>
      </c>
      <c r="E20" s="227">
        <f t="shared" si="7"/>
        <v>3.9604685817269211E-2</v>
      </c>
      <c r="F20" s="227">
        <f t="shared" si="7"/>
        <v>6.1665651958762419E-2</v>
      </c>
      <c r="G20" s="227">
        <f t="shared" si="7"/>
        <v>5.4955455296355961E-2</v>
      </c>
      <c r="H20" s="227" t="str">
        <f t="shared" si="7"/>
        <v/>
      </c>
      <c r="I20" s="227" t="str">
        <f t="shared" si="7"/>
        <v/>
      </c>
      <c r="J20" s="227" t="str">
        <f t="shared" si="7"/>
        <v/>
      </c>
      <c r="K20" s="227" t="str">
        <f t="shared" si="7"/>
        <v/>
      </c>
      <c r="L20" s="227" t="str">
        <f t="shared" si="7"/>
        <v/>
      </c>
      <c r="M20" s="227" t="str">
        <f t="shared" si="7"/>
        <v/>
      </c>
      <c r="N20" s="3"/>
    </row>
    <row r="21" spans="1:14" ht="15.75" customHeight="1" x14ac:dyDescent="0.35">
      <c r="A21" s="135"/>
      <c r="B21" s="264" t="s">
        <v>97</v>
      </c>
      <c r="C21" s="144">
        <v>492545</v>
      </c>
      <c r="D21" s="144">
        <v>406113</v>
      </c>
      <c r="E21" s="144">
        <v>464872</v>
      </c>
      <c r="F21" s="144">
        <v>546440</v>
      </c>
      <c r="G21" s="144">
        <v>617357</v>
      </c>
      <c r="H21" s="144"/>
      <c r="I21" s="144" t="str">
        <f>IF(Inputs!I33="","",Inputs!I33)</f>
        <v/>
      </c>
      <c r="J21" s="144" t="str">
        <f>IF(Inputs!J33="","",Inputs!J33)</f>
        <v/>
      </c>
      <c r="K21" s="144" t="str">
        <f>IF(Inputs!K33="","",Inputs!K33)</f>
        <v/>
      </c>
      <c r="L21" s="144" t="str">
        <f>IF(Inputs!L33="","",Inputs!L33)</f>
        <v/>
      </c>
      <c r="M21" s="144" t="str">
        <f>IF(Inputs!M33="","",Inputs!M33)</f>
        <v/>
      </c>
      <c r="N21" s="3"/>
    </row>
    <row r="22" spans="1:14" ht="15.75" customHeight="1" x14ac:dyDescent="0.35">
      <c r="A22" s="135"/>
      <c r="B22" s="279" t="s">
        <v>207</v>
      </c>
      <c r="C22" s="227">
        <f t="shared" ref="C22:M22" si="8">IF(C6="","",MAX(C23,0)/C6)</f>
        <v>4.413341231043115E-2</v>
      </c>
      <c r="D22" s="227">
        <f t="shared" si="8"/>
        <v>8.9565367523571013E-3</v>
      </c>
      <c r="E22" s="227">
        <f t="shared" si="8"/>
        <v>3.8804791663312119E-2</v>
      </c>
      <c r="F22" s="227">
        <f t="shared" si="8"/>
        <v>1.5679014505150749E-2</v>
      </c>
      <c r="G22" s="227">
        <f t="shared" si="8"/>
        <v>0</v>
      </c>
      <c r="H22" s="227">
        <f t="shared" si="8"/>
        <v>0</v>
      </c>
      <c r="I22" s="227" t="str">
        <f t="shared" si="8"/>
        <v/>
      </c>
      <c r="J22" s="227" t="str">
        <f t="shared" si="8"/>
        <v/>
      </c>
      <c r="K22" s="227" t="str">
        <f t="shared" si="8"/>
        <v/>
      </c>
      <c r="L22" s="227" t="str">
        <f t="shared" si="8"/>
        <v/>
      </c>
      <c r="M22" s="227" t="str">
        <f t="shared" si="8"/>
        <v/>
      </c>
      <c r="N22" s="3"/>
    </row>
    <row r="23" spans="1:14" ht="15.75" customHeight="1" x14ac:dyDescent="0.35">
      <c r="A23" s="135"/>
      <c r="B23" s="264" t="s">
        <v>100</v>
      </c>
      <c r="C23" s="144">
        <f>IF(Inputs!C34="","",Inputs!C34)</f>
        <v>676387</v>
      </c>
      <c r="D23" s="144">
        <f>IF(Inputs!D34="","",Inputs!D34)</f>
        <v>107280</v>
      </c>
      <c r="E23" s="144">
        <f>IF(Inputs!E34="","",Inputs!E34)</f>
        <v>455483</v>
      </c>
      <c r="F23" s="144">
        <f>IF(Inputs!F34="","",Inputs!F34)</f>
        <v>138937</v>
      </c>
      <c r="G23" s="144" t="str">
        <f>IF(Inputs!G34="","",Inputs!G34)</f>
        <v/>
      </c>
      <c r="H23" s="144" t="str">
        <f>IF(Inputs!H34="","",Inputs!H34)</f>
        <v/>
      </c>
      <c r="I23" s="144" t="str">
        <f>IF(Inputs!I34="","",Inputs!I34)</f>
        <v/>
      </c>
      <c r="J23" s="144" t="str">
        <f>IF(Inputs!J34="","",Inputs!J34)</f>
        <v/>
      </c>
      <c r="K23" s="144" t="str">
        <f>IF(Inputs!K34="","",Inputs!K34)</f>
        <v/>
      </c>
      <c r="L23" s="144" t="str">
        <f>IF(Inputs!L34="","",Inputs!L34)</f>
        <v/>
      </c>
      <c r="M23" s="144" t="str">
        <f>IF(Inputs!M34="","",Inputs!M34)</f>
        <v/>
      </c>
      <c r="N23" s="3"/>
    </row>
    <row r="24" spans="1:14" ht="15.75" customHeight="1" x14ac:dyDescent="0.35">
      <c r="A24" s="135"/>
      <c r="B24" s="308" t="s">
        <v>283</v>
      </c>
      <c r="C24" s="309">
        <f t="shared" ref="C24:M24" si="9">IF(C6="","",C14-MAX(C18,0)-MAX(C19,0)-ABS(MAX(C23,0)-MAX(C21,0)))</f>
        <v>1006752</v>
      </c>
      <c r="D24" s="309">
        <f t="shared" si="9"/>
        <v>691187</v>
      </c>
      <c r="E24" s="309">
        <f t="shared" si="9"/>
        <v>340979</v>
      </c>
      <c r="F24" s="309">
        <f t="shared" si="9"/>
        <v>499084.33333333337</v>
      </c>
      <c r="G24" s="309">
        <f t="shared" si="9"/>
        <v>522553.33333333326</v>
      </c>
      <c r="H24" s="309">
        <f t="shared" si="9"/>
        <v>1568270</v>
      </c>
      <c r="I24" s="309" t="str">
        <f t="shared" si="9"/>
        <v/>
      </c>
      <c r="J24" s="309" t="str">
        <f t="shared" si="9"/>
        <v/>
      </c>
      <c r="K24" s="309" t="str">
        <f t="shared" si="9"/>
        <v/>
      </c>
      <c r="L24" s="309" t="str">
        <f t="shared" si="9"/>
        <v/>
      </c>
      <c r="M24" s="309" t="str">
        <f t="shared" si="9"/>
        <v/>
      </c>
      <c r="N24" s="3"/>
    </row>
    <row r="25" spans="1:14" ht="15.75" customHeight="1" x14ac:dyDescent="0.35">
      <c r="A25" s="135"/>
      <c r="B25" s="277" t="s">
        <v>104</v>
      </c>
      <c r="C25" s="143">
        <f t="shared" ref="C25:M25" si="10">IF(C6="","",C26/C6)</f>
        <v>4.9266988917237298E-2</v>
      </c>
      <c r="D25" s="143">
        <f t="shared" si="10"/>
        <v>4.3279095135986073E-2</v>
      </c>
      <c r="E25" s="143">
        <f t="shared" si="10"/>
        <v>2.1787233096346906E-2</v>
      </c>
      <c r="F25" s="143">
        <f t="shared" si="10"/>
        <v>4.224118036390679E-2</v>
      </c>
      <c r="G25" s="143">
        <f t="shared" si="10"/>
        <v>3.488721641201338E-2</v>
      </c>
      <c r="H25" s="143">
        <f t="shared" si="10"/>
        <v>7.4161616747551548E-2</v>
      </c>
      <c r="I25" s="143" t="str">
        <f t="shared" si="10"/>
        <v/>
      </c>
      <c r="J25" s="143" t="str">
        <f t="shared" si="10"/>
        <v/>
      </c>
      <c r="K25" s="143" t="str">
        <f t="shared" si="10"/>
        <v/>
      </c>
      <c r="L25" s="143" t="str">
        <f t="shared" si="10"/>
        <v/>
      </c>
      <c r="M25" s="143" t="str">
        <f t="shared" si="10"/>
        <v/>
      </c>
      <c r="N25" s="3"/>
    </row>
    <row r="26" spans="1:14" ht="15.75" customHeight="1" x14ac:dyDescent="0.35">
      <c r="A26" s="135"/>
      <c r="B26" s="274" t="s">
        <v>284</v>
      </c>
      <c r="C26" s="275">
        <f>IF(C6="","",C24*(1-Fin_Analysis!$I$84))</f>
        <v>755064</v>
      </c>
      <c r="D26" s="276">
        <f>IF(D6="","",D24*(1-Fin_Analysis!$I$84))</f>
        <v>518390.25</v>
      </c>
      <c r="E26" s="276">
        <f>IF(E6="","",E24*(1-Fin_Analysis!$I$84))</f>
        <v>255734.25</v>
      </c>
      <c r="F26" s="276">
        <f>IF(F6="","",F24*(1-Fin_Analysis!$I$84))</f>
        <v>374313.25</v>
      </c>
      <c r="G26" s="276">
        <f>IF(G6="","",G24*(1-Fin_Analysis!$I$84))</f>
        <v>391914.99999999994</v>
      </c>
      <c r="H26" s="276">
        <f>IF(H6="","",H24*(1-Fin_Analysis!$I$84))</f>
        <v>1176202.5</v>
      </c>
      <c r="I26" s="276" t="str">
        <f>IF(I6="","",I24*(1-Fin_Analysis!$I$84))</f>
        <v/>
      </c>
      <c r="J26" s="276" t="str">
        <f>IF(J6="","",J24*(1-Fin_Analysis!$I$84))</f>
        <v/>
      </c>
      <c r="K26" s="276" t="str">
        <f>IF(K6="","",K24*(1-Fin_Analysis!$I$84))</f>
        <v/>
      </c>
      <c r="L26" s="276" t="str">
        <f>IF(L6="","",L24*(1-Fin_Analysis!$I$84))</f>
        <v/>
      </c>
      <c r="M26" s="276" t="str">
        <f>IF(M6="","",M24*(1-Fin_Analysis!$I$84))</f>
        <v/>
      </c>
      <c r="N26" s="3"/>
    </row>
    <row r="27" spans="1:14" ht="15.75" customHeight="1" x14ac:dyDescent="0.35">
      <c r="A27" s="135"/>
      <c r="B27" s="304" t="s">
        <v>117</v>
      </c>
      <c r="C27" s="305">
        <f t="shared" ref="C27:M27" si="11">IF(D26="","",IF(ABS(C26+D26)=ABS(C26)+ABS(D26),IF(C26&lt;0,-1,1)*(C26-D26)/D26,"Turn"))</f>
        <v>0.45655517247864907</v>
      </c>
      <c r="D27" s="305">
        <f t="shared" si="11"/>
        <v>1.0270661829614141</v>
      </c>
      <c r="E27" s="305">
        <f t="shared" si="11"/>
        <v>-0.3167908162481558</v>
      </c>
      <c r="F27" s="305">
        <f t="shared" si="11"/>
        <v>-4.4912162075960209E-2</v>
      </c>
      <c r="G27" s="305">
        <f t="shared" si="11"/>
        <v>-0.66679632121169607</v>
      </c>
      <c r="H27" s="305" t="str">
        <f t="shared" si="11"/>
        <v/>
      </c>
      <c r="I27" s="305" t="str">
        <f t="shared" si="11"/>
        <v/>
      </c>
      <c r="J27" s="305" t="str">
        <f t="shared" si="11"/>
        <v/>
      </c>
      <c r="K27" s="305" t="str">
        <f t="shared" si="11"/>
        <v/>
      </c>
      <c r="L27" s="305" t="str">
        <f t="shared" si="11"/>
        <v/>
      </c>
      <c r="M27" s="305" t="str">
        <f t="shared" si="11"/>
        <v/>
      </c>
      <c r="N27" s="3"/>
    </row>
    <row r="28" spans="1:14" ht="15.75" customHeight="1" x14ac:dyDescent="0.35">
      <c r="A28" s="129"/>
      <c r="B28" s="265" t="s">
        <v>123</v>
      </c>
      <c r="C28" s="286">
        <f>Fin_Analysis!D9</f>
        <v>45382</v>
      </c>
      <c r="D28" s="287">
        <f>D5</f>
        <v>45016</v>
      </c>
      <c r="E28" s="287">
        <f t="shared" ref="E28" si="12">EOMONTH(EDATE(D28,-12),0)</f>
        <v>44651</v>
      </c>
      <c r="F28" s="287">
        <f t="shared" ref="F28" si="13">EOMONTH(EDATE(E28,-12),0)</f>
        <v>44286</v>
      </c>
      <c r="G28" s="287">
        <f t="shared" ref="G28" si="14">EOMONTH(EDATE(F28,-12),0)</f>
        <v>43921</v>
      </c>
      <c r="H28" s="287">
        <f t="shared" ref="H28" si="15">EOMONTH(EDATE(G28,-12),0)</f>
        <v>43555</v>
      </c>
      <c r="I28" s="287">
        <f t="shared" ref="I28" si="16">EOMONTH(EDATE(H28,-12),0)</f>
        <v>43190</v>
      </c>
      <c r="J28" s="287">
        <f t="shared" ref="J28" si="17">EOMONTH(EDATE(I28,-12),0)</f>
        <v>42825</v>
      </c>
      <c r="K28" s="287">
        <f t="shared" ref="K28" si="18">EOMONTH(EDATE(J28,-12),0)</f>
        <v>42460</v>
      </c>
      <c r="L28" s="287">
        <f t="shared" ref="L28" si="19">EOMONTH(EDATE(K28,-12),0)</f>
        <v>42094</v>
      </c>
      <c r="M28" s="287">
        <f t="shared" ref="M28" si="20">EOMONTH(EDATE(L28,-12),0)</f>
        <v>41729</v>
      </c>
      <c r="N28" s="3"/>
    </row>
    <row r="29" spans="1:14" ht="15.75" customHeight="1" x14ac:dyDescent="0.35">
      <c r="A29" s="135"/>
      <c r="B29" s="263" t="s">
        <v>14</v>
      </c>
      <c r="C29" s="147">
        <f>IF(C36="","",C36+C32)</f>
        <v>16854064</v>
      </c>
      <c r="D29" s="147">
        <f>IF(D36="","",D36+D32)</f>
        <v>14687373</v>
      </c>
      <c r="E29" s="147">
        <f t="shared" ref="E29:M29" si="21">IF(E36="","",E36+E32)</f>
        <v>15987114</v>
      </c>
      <c r="F29" s="147">
        <f t="shared" si="21"/>
        <v>14270996</v>
      </c>
      <c r="G29" s="147" t="str">
        <f t="shared" si="21"/>
        <v/>
      </c>
      <c r="H29" s="147" t="str">
        <f t="shared" si="21"/>
        <v/>
      </c>
      <c r="I29" s="147" t="str">
        <f t="shared" si="21"/>
        <v/>
      </c>
      <c r="J29" s="147" t="str">
        <f t="shared" si="21"/>
        <v/>
      </c>
      <c r="K29" s="147" t="str">
        <f t="shared" si="21"/>
        <v/>
      </c>
      <c r="L29" s="147" t="str">
        <f t="shared" si="21"/>
        <v/>
      </c>
      <c r="M29" s="147" t="str">
        <f t="shared" si="21"/>
        <v/>
      </c>
      <c r="N29" s="3"/>
    </row>
    <row r="30" spans="1:14" ht="15.75" customHeight="1" x14ac:dyDescent="0.35">
      <c r="A30" s="135"/>
      <c r="B30" s="263" t="s">
        <v>106</v>
      </c>
      <c r="C30" s="147">
        <f>Fin_Analysis!C13</f>
        <v>265773</v>
      </c>
      <c r="D30" s="144">
        <f>IF(Inputs!D35="","",Inputs!D35)</f>
        <v>213823</v>
      </c>
      <c r="E30" s="144">
        <f>IF(Inputs!E35="","",Inputs!E35)</f>
        <v>187711</v>
      </c>
      <c r="F30" s="144">
        <f>IF(Inputs!F35="","",Inputs!F35)</f>
        <v>277338</v>
      </c>
      <c r="G30" s="144" t="str">
        <f>IF(Inputs!G35="","",Inputs!G35)</f>
        <v/>
      </c>
      <c r="H30" s="144" t="str">
        <f>IF(Inputs!H35="","",Inputs!H35)</f>
        <v/>
      </c>
      <c r="I30" s="144" t="str">
        <f>IF(Inputs!I35="","",Inputs!I35)</f>
        <v/>
      </c>
      <c r="J30" s="144" t="str">
        <f>IF(Inputs!J35="","",Inputs!J35)</f>
        <v/>
      </c>
      <c r="K30" s="144" t="str">
        <f>IF(Inputs!K35="","",Inputs!K35)</f>
        <v/>
      </c>
      <c r="L30" s="144" t="str">
        <f>IF(Inputs!L35="","",Inputs!L35)</f>
        <v/>
      </c>
      <c r="M30" s="144" t="str">
        <f>IF(Inputs!M35="","",Inputs!M35)</f>
        <v/>
      </c>
      <c r="N30" s="3"/>
    </row>
    <row r="31" spans="1:14" ht="15.75" customHeight="1" x14ac:dyDescent="0.35">
      <c r="A31" s="135"/>
      <c r="B31" s="263" t="s">
        <v>135</v>
      </c>
      <c r="C31" s="147">
        <f>Fin_Analysis!C18</f>
        <v>9672256</v>
      </c>
      <c r="D31" s="144">
        <f>IF(Inputs!D36="","",Inputs!D36)</f>
        <v>8852611</v>
      </c>
      <c r="E31" s="144">
        <f>IF(Inputs!E36="","",Inputs!E36)</f>
        <v>8769304</v>
      </c>
      <c r="F31" s="144">
        <f>IF(Inputs!F36="","",Inputs!F36)</f>
        <v>7321614</v>
      </c>
      <c r="G31" s="144" t="str">
        <f>IF(Inputs!G36="","",Inputs!G36)</f>
        <v/>
      </c>
      <c r="H31" s="144" t="str">
        <f>IF(Inputs!H36="","",Inputs!H36)</f>
        <v/>
      </c>
      <c r="I31" s="144" t="str">
        <f>IF(Inputs!I36="","",Inputs!I36)</f>
        <v/>
      </c>
      <c r="J31" s="144" t="str">
        <f>IF(Inputs!J36="","",Inputs!J36)</f>
        <v/>
      </c>
      <c r="K31" s="144" t="str">
        <f>IF(Inputs!K36="","",Inputs!K36)</f>
        <v/>
      </c>
      <c r="L31" s="144" t="str">
        <f>IF(Inputs!L36="","",Inputs!L36)</f>
        <v/>
      </c>
      <c r="M31" s="144" t="str">
        <f>IF(Inputs!M36="","",Inputs!M36)</f>
        <v/>
      </c>
      <c r="N31" s="3"/>
    </row>
    <row r="32" spans="1:14" ht="15.75" customHeight="1" x14ac:dyDescent="0.35">
      <c r="A32" s="135"/>
      <c r="B32" s="263" t="s">
        <v>244</v>
      </c>
      <c r="C32" s="147">
        <f>Inputs!C37</f>
        <v>3990166</v>
      </c>
      <c r="D32" s="144">
        <f>IF(Inputs!D37="","",Inputs!D37)</f>
        <v>2466431</v>
      </c>
      <c r="E32" s="144">
        <f>IF(Inputs!E37="","",Inputs!E37)</f>
        <v>3908586</v>
      </c>
      <c r="F32" s="144">
        <f>IF(Inputs!F37="","",Inputs!F37)</f>
        <v>2946772</v>
      </c>
      <c r="G32" s="144" t="str">
        <f>IF(Inputs!G37="","",Inputs!G37)</f>
        <v/>
      </c>
      <c r="H32" s="144" t="str">
        <f>IF(Inputs!H37="","",Inputs!H37)</f>
        <v/>
      </c>
      <c r="I32" s="144" t="str">
        <f>IF(Inputs!I37="","",Inputs!I37)</f>
        <v/>
      </c>
      <c r="J32" s="144" t="str">
        <f>IF(Inputs!J37="","",Inputs!J37)</f>
        <v/>
      </c>
      <c r="K32" s="144" t="str">
        <f>IF(Inputs!K37="","",Inputs!K37)</f>
        <v/>
      </c>
      <c r="L32" s="144" t="str">
        <f>IF(Inputs!L37="","",Inputs!L37)</f>
        <v/>
      </c>
      <c r="M32" s="144" t="str">
        <f>IF(Inputs!M37="","",Inputs!M37)</f>
        <v/>
      </c>
      <c r="N32" s="3"/>
    </row>
    <row r="33" spans="1:14" ht="15.5" customHeight="1" x14ac:dyDescent="0.35">
      <c r="A33" s="135"/>
      <c r="B33" s="263" t="s">
        <v>17</v>
      </c>
      <c r="C33" s="147">
        <f>Fin_Analysis!I15</f>
        <v>1715502</v>
      </c>
      <c r="D33" s="144">
        <f>IF(Inputs!D39="","",Inputs!D39)</f>
        <v>1035175</v>
      </c>
      <c r="E33" s="144">
        <f>IF(Inputs!E39="","",Inputs!E39)</f>
        <v>1587989</v>
      </c>
      <c r="F33" s="144">
        <f>IF(Inputs!F39="","",Inputs!F39)</f>
        <v>1050082</v>
      </c>
      <c r="G33" s="144" t="str">
        <f>IF(Inputs!G39="","",Inputs!G39)</f>
        <v/>
      </c>
      <c r="H33" s="144" t="str">
        <f>IF(Inputs!H39="","",Inputs!H39)</f>
        <v/>
      </c>
      <c r="I33" s="144" t="str">
        <f>IF(Inputs!I39="","",Inputs!I39)</f>
        <v/>
      </c>
      <c r="J33" s="144" t="str">
        <f>IF(Inputs!J39="","",Inputs!J39)</f>
        <v/>
      </c>
      <c r="K33" s="144" t="str">
        <f>IF(Inputs!K39="","",Inputs!K39)</f>
        <v/>
      </c>
      <c r="L33" s="144" t="str">
        <f>IF(Inputs!L39="","",Inputs!L39)</f>
        <v/>
      </c>
      <c r="M33" s="144" t="str">
        <f>IF(Inputs!M39="","",Inputs!M39)</f>
        <v/>
      </c>
      <c r="N33" s="3"/>
    </row>
    <row r="34" spans="1:14" ht="15.75" customHeight="1" x14ac:dyDescent="0.35">
      <c r="A34" s="135"/>
      <c r="B34" s="263" t="s">
        <v>18</v>
      </c>
      <c r="C34" s="147">
        <f>Fin_Analysis!I34</f>
        <v>319420</v>
      </c>
      <c r="D34" s="144">
        <f>IF(Inputs!D40="","",Inputs!D40)</f>
        <v>67759</v>
      </c>
      <c r="E34" s="144">
        <f>IF(Inputs!E40="","",Inputs!E40)</f>
        <v>153013</v>
      </c>
      <c r="F34" s="144">
        <f>IF(Inputs!F40="","",Inputs!F40)</f>
        <v>81854</v>
      </c>
      <c r="G34" s="144" t="str">
        <f>IF(Inputs!G40="","",Inputs!G40)</f>
        <v/>
      </c>
      <c r="H34" s="144" t="str">
        <f>IF(Inputs!H40="","",Inputs!H40)</f>
        <v/>
      </c>
      <c r="I34" s="144" t="str">
        <f>IF(Inputs!I40="","",Inputs!I40)</f>
        <v/>
      </c>
      <c r="J34" s="144" t="str">
        <f>IF(Inputs!J40="","",Inputs!J40)</f>
        <v/>
      </c>
      <c r="K34" s="144" t="str">
        <f>IF(Inputs!K40="","",Inputs!K40)</f>
        <v/>
      </c>
      <c r="L34" s="144" t="str">
        <f>IF(Inputs!L40="","",Inputs!L40)</f>
        <v/>
      </c>
      <c r="M34" s="144" t="str">
        <f>IF(Inputs!M40="","",Inputs!M40)</f>
        <v/>
      </c>
      <c r="N34" s="3"/>
    </row>
    <row r="35" spans="1:14" ht="15.75" customHeight="1" x14ac:dyDescent="0.35">
      <c r="A35" s="135"/>
      <c r="B35" s="263" t="s">
        <v>19</v>
      </c>
      <c r="C35" s="97">
        <f t="shared" ref="C35" si="22">IF(OR(C33="",C34=""),"",C33+C34)</f>
        <v>2034922</v>
      </c>
      <c r="D35" s="97">
        <f t="shared" ref="D35" si="23">IF(OR(D33="",D34=""),"",D33+D34)</f>
        <v>1102934</v>
      </c>
      <c r="E35" s="97">
        <f t="shared" ref="E35" si="24">IF(OR(E33="",E34=""),"",E33+E34)</f>
        <v>1741002</v>
      </c>
      <c r="F35" s="97">
        <f t="shared" ref="F35" si="25">IF(OR(F33="",F34=""),"",F33+F34)</f>
        <v>1131936</v>
      </c>
      <c r="G35" s="97" t="str">
        <f t="shared" ref="G35" si="26">IF(OR(G33="",G34=""),"",G33+G34)</f>
        <v/>
      </c>
      <c r="H35" s="97" t="str">
        <f t="shared" ref="H35" si="27">IF(OR(H33="",H34=""),"",H33+H34)</f>
        <v/>
      </c>
      <c r="I35" s="97" t="str">
        <f t="shared" ref="I35" si="28">IF(OR(I33="",I34=""),"",I33+I34)</f>
        <v/>
      </c>
      <c r="J35" s="97" t="str">
        <f t="shared" ref="J35" si="29">IF(OR(J33="",J34=""),"",J33+J34)</f>
        <v/>
      </c>
      <c r="K35" s="97" t="str">
        <f t="shared" ref="K35" si="30">IF(OR(K33="",K34=""),"",K33+K34)</f>
        <v/>
      </c>
      <c r="L35" s="97" t="str">
        <f t="shared" ref="L35" si="31">IF(OR(L33="",L34=""),"",L33+L34)</f>
        <v/>
      </c>
      <c r="M35" s="97" t="str">
        <f t="shared" ref="M35" si="32">IF(OR(M33="",M34=""),"",M33+M34)</f>
        <v/>
      </c>
      <c r="N35" s="3"/>
    </row>
    <row r="36" spans="1:14" ht="15.75" customHeight="1" x14ac:dyDescent="0.35">
      <c r="A36" s="135"/>
      <c r="B36" s="263" t="s">
        <v>126</v>
      </c>
      <c r="C36" s="147">
        <f>Inputs!C41</f>
        <v>12863898</v>
      </c>
      <c r="D36" s="144">
        <f>IF(Inputs!D41="","",Inputs!D41)</f>
        <v>12220942</v>
      </c>
      <c r="E36" s="144">
        <f>IF(Inputs!E41="","",Inputs!E41)</f>
        <v>12078528</v>
      </c>
      <c r="F36" s="144">
        <f>IF(Inputs!F41="","",Inputs!F41)</f>
        <v>11324224</v>
      </c>
      <c r="G36" s="144" t="str">
        <f>IF(Inputs!G41="","",Inputs!G41)</f>
        <v/>
      </c>
      <c r="H36" s="144" t="str">
        <f>IF(Inputs!H41="","",Inputs!H41)</f>
        <v/>
      </c>
      <c r="I36" s="144" t="str">
        <f>IF(Inputs!I41="","",Inputs!I41)</f>
        <v/>
      </c>
      <c r="J36" s="144" t="str">
        <f>IF(Inputs!J41="","",Inputs!J41)</f>
        <v/>
      </c>
      <c r="K36" s="144" t="str">
        <f>IF(Inputs!K41="","",Inputs!K41)</f>
        <v/>
      </c>
      <c r="L36" s="144" t="str">
        <f>IF(Inputs!L41="","",Inputs!L41)</f>
        <v/>
      </c>
      <c r="M36" s="144" t="str">
        <f>IF(Inputs!M41="","",Inputs!M41)</f>
        <v/>
      </c>
      <c r="N36" s="3"/>
    </row>
    <row r="37" spans="1:14" ht="15.75" customHeight="1" x14ac:dyDescent="0.35">
      <c r="A37" s="135"/>
      <c r="B37" s="263" t="s">
        <v>127</v>
      </c>
      <c r="C37" s="147">
        <f>Inputs!C42</f>
        <v>-26962</v>
      </c>
      <c r="D37" s="144">
        <f>IF(Inputs!D42="","",Inputs!D42)</f>
        <v>-498</v>
      </c>
      <c r="E37" s="144">
        <f>IF(Inputs!E42="","",Inputs!E42)</f>
        <v>468</v>
      </c>
      <c r="F37" s="144">
        <f>IF(Inputs!F42="","",Inputs!F42)</f>
        <v>411</v>
      </c>
      <c r="G37" s="144" t="str">
        <f>IF(Inputs!G42="","",Inputs!G42)</f>
        <v/>
      </c>
      <c r="H37" s="144" t="str">
        <f>IF(Inputs!H42="","",Inputs!H42)</f>
        <v/>
      </c>
      <c r="I37" s="144" t="str">
        <f>IF(Inputs!I42="","",Inputs!I42)</f>
        <v/>
      </c>
      <c r="J37" s="144" t="str">
        <f>IF(Inputs!J42="","",Inputs!J42)</f>
        <v/>
      </c>
      <c r="K37" s="144" t="str">
        <f>IF(Inputs!K42="","",Inputs!K42)</f>
        <v/>
      </c>
      <c r="L37" s="144" t="str">
        <f>IF(Inputs!L42="","",Inputs!L42)</f>
        <v/>
      </c>
      <c r="M37" s="144" t="str">
        <f>IF(Inputs!M42="","",Inputs!M42)</f>
        <v/>
      </c>
      <c r="N37" s="3"/>
    </row>
    <row r="38" spans="1:14" ht="15.75" customHeight="1" x14ac:dyDescent="0.35">
      <c r="A38" s="135"/>
      <c r="B38" s="263" t="s">
        <v>125</v>
      </c>
      <c r="C38" s="147">
        <f>Inputs!C40</f>
        <v>0</v>
      </c>
      <c r="D38" s="144">
        <f>IF(Inputs!D43="","",Inputs!D43)</f>
        <v>3475378</v>
      </c>
      <c r="E38" s="144">
        <f>IF(Inputs!E43="","",Inputs!E43)</f>
        <v>4499643</v>
      </c>
      <c r="F38" s="144">
        <f>IF(Inputs!F43="","",Inputs!F43)</f>
        <v>4455433</v>
      </c>
      <c r="G38" s="144" t="str">
        <f>IF(Inputs!G43="","",Inputs!G43)</f>
        <v/>
      </c>
      <c r="H38" s="144" t="str">
        <f>IF(Inputs!H43="","",Inputs!H43)</f>
        <v/>
      </c>
      <c r="I38" s="144" t="str">
        <f>IF(Inputs!I43="","",Inputs!I43)</f>
        <v/>
      </c>
      <c r="J38" s="144" t="str">
        <f>IF(Inputs!J43="","",Inputs!J43)</f>
        <v/>
      </c>
      <c r="K38" s="144" t="str">
        <f>IF(Inputs!K43="","",Inputs!K43)</f>
        <v/>
      </c>
      <c r="L38" s="144" t="str">
        <f>IF(Inputs!L43="","",Inputs!L43)</f>
        <v/>
      </c>
      <c r="M38" s="144" t="str">
        <f>IF(Inputs!M43="","",Inputs!M43)</f>
        <v/>
      </c>
      <c r="N38" s="3"/>
    </row>
    <row r="39" spans="1:14" ht="15.75" customHeight="1" x14ac:dyDescent="0.35">
      <c r="A39" s="135"/>
      <c r="B39" s="263" t="s">
        <v>129</v>
      </c>
      <c r="C39" s="147">
        <f>Fin_Analysis!C68</f>
        <v>13930119</v>
      </c>
      <c r="D39" s="147">
        <f t="shared" ref="D39:M39" si="33">IF(D38="","",D29-D38)</f>
        <v>11211995</v>
      </c>
      <c r="E39" s="147">
        <f t="shared" si="33"/>
        <v>11487471</v>
      </c>
      <c r="F39" s="147">
        <f t="shared" si="33"/>
        <v>9815563</v>
      </c>
      <c r="G39" s="147" t="str">
        <f t="shared" si="33"/>
        <v/>
      </c>
      <c r="H39" s="147" t="str">
        <f t="shared" si="33"/>
        <v/>
      </c>
      <c r="I39" s="147" t="str">
        <f t="shared" si="33"/>
        <v/>
      </c>
      <c r="J39" s="147" t="str">
        <f t="shared" si="33"/>
        <v/>
      </c>
      <c r="K39" s="147" t="str">
        <f t="shared" si="33"/>
        <v/>
      </c>
      <c r="L39" s="147" t="str">
        <f t="shared" si="33"/>
        <v/>
      </c>
      <c r="M39" s="147" t="str">
        <f t="shared" si="33"/>
        <v/>
      </c>
      <c r="N39" s="3"/>
    </row>
    <row r="40" spans="1:14" ht="15.75" customHeight="1" x14ac:dyDescent="0.35">
      <c r="A40" s="135"/>
      <c r="B40" s="267" t="s">
        <v>141</v>
      </c>
      <c r="C40" s="148">
        <f>IF(C6="","",C14/MAX(C39,0))</f>
        <v>0.13472770763839131</v>
      </c>
      <c r="D40" s="148">
        <f>IF(D6="","",D14/MAX(D39,0))</f>
        <v>0.12155570886358762</v>
      </c>
      <c r="E40" s="148">
        <f>IF(E6="","",E14/MAX(E39,0))</f>
        <v>0.12350116052523658</v>
      </c>
      <c r="F40" s="148">
        <f t="shared" ref="F40:M40" si="34">IF(F39="","",F14/F39)</f>
        <v>9.5301342707833817E-2</v>
      </c>
      <c r="G40" s="148" t="str">
        <f t="shared" si="34"/>
        <v/>
      </c>
      <c r="H40" s="148" t="str">
        <f t="shared" si="34"/>
        <v/>
      </c>
      <c r="I40" s="148" t="str">
        <f t="shared" si="34"/>
        <v/>
      </c>
      <c r="J40" s="148" t="str">
        <f t="shared" si="34"/>
        <v/>
      </c>
      <c r="K40" s="148" t="str">
        <f t="shared" si="34"/>
        <v/>
      </c>
      <c r="L40" s="148" t="str">
        <f t="shared" si="34"/>
        <v/>
      </c>
      <c r="M40" s="148" t="str">
        <f t="shared" si="34"/>
        <v/>
      </c>
      <c r="N40" s="3"/>
    </row>
    <row r="41" spans="1:14" ht="15.75" customHeight="1" x14ac:dyDescent="0.35">
      <c r="A41" s="129"/>
      <c r="B41" s="268" t="s">
        <v>229</v>
      </c>
      <c r="C41" s="149"/>
      <c r="D41" s="149"/>
      <c r="E41" s="149"/>
      <c r="F41" s="149"/>
      <c r="G41" s="149"/>
      <c r="H41" s="149"/>
      <c r="I41" s="149"/>
      <c r="J41" s="149"/>
      <c r="K41" s="149"/>
      <c r="L41" s="149"/>
      <c r="M41" s="149"/>
      <c r="N41" s="3"/>
    </row>
    <row r="42" spans="1:14" ht="15.75" customHeight="1" x14ac:dyDescent="0.35">
      <c r="A42" s="135"/>
      <c r="B42" s="269" t="s">
        <v>90</v>
      </c>
      <c r="C42" s="150">
        <f t="shared" ref="C42:M42" si="35">IF(C6="","",C8/C6)</f>
        <v>0.72762956087193742</v>
      </c>
      <c r="D42" s="150">
        <f t="shared" si="35"/>
        <v>0.7303022981431383</v>
      </c>
      <c r="E42" s="150">
        <f t="shared" si="35"/>
        <v>0.7244946946204498</v>
      </c>
      <c r="F42" s="150">
        <f t="shared" si="35"/>
        <v>0.70294374380383995</v>
      </c>
      <c r="G42" s="150">
        <f t="shared" si="35"/>
        <v>0.70419372087965826</v>
      </c>
      <c r="H42" s="150">
        <f t="shared" si="35"/>
        <v>0.74565961264792724</v>
      </c>
      <c r="I42" s="150" t="str">
        <f t="shared" si="35"/>
        <v/>
      </c>
      <c r="J42" s="150" t="str">
        <f t="shared" si="35"/>
        <v/>
      </c>
      <c r="K42" s="150" t="str">
        <f t="shared" si="35"/>
        <v/>
      </c>
      <c r="L42" s="150" t="str">
        <f t="shared" si="35"/>
        <v/>
      </c>
      <c r="M42" s="150" t="str">
        <f t="shared" si="35"/>
        <v/>
      </c>
      <c r="N42" s="3"/>
    </row>
    <row r="43" spans="1:14" ht="15.75" customHeight="1" x14ac:dyDescent="0.35">
      <c r="A43" s="135"/>
      <c r="B43" s="263" t="s">
        <v>206</v>
      </c>
      <c r="C43" s="146">
        <f t="shared" ref="C43:M43" si="36">IF(C6="","",(C10+MAX(C11,0))/C6)</f>
        <v>0.14991333007350532</v>
      </c>
      <c r="D43" s="146">
        <f t="shared" si="36"/>
        <v>0.15591411943585173</v>
      </c>
      <c r="E43" s="146">
        <f t="shared" si="36"/>
        <v>0.1546380527940365</v>
      </c>
      <c r="F43" s="146">
        <f t="shared" si="36"/>
        <v>0.19122175157580659</v>
      </c>
      <c r="G43" s="146">
        <f t="shared" si="36"/>
        <v>0.18856108069142588</v>
      </c>
      <c r="H43" s="146">
        <f t="shared" si="36"/>
        <v>0.15238149582692045</v>
      </c>
      <c r="I43" s="146" t="str">
        <f t="shared" si="36"/>
        <v/>
      </c>
      <c r="J43" s="146" t="str">
        <f t="shared" si="36"/>
        <v/>
      </c>
      <c r="K43" s="146" t="str">
        <f t="shared" si="36"/>
        <v/>
      </c>
      <c r="L43" s="146" t="str">
        <f t="shared" si="36"/>
        <v/>
      </c>
      <c r="M43" s="146" t="str">
        <f t="shared" si="36"/>
        <v/>
      </c>
      <c r="N43" s="3"/>
    </row>
    <row r="44" spans="1:14" ht="15.75" customHeight="1" x14ac:dyDescent="0.35">
      <c r="A44" s="135"/>
      <c r="B44" s="263" t="s">
        <v>101</v>
      </c>
      <c r="C44" s="146">
        <f t="shared" ref="C44:M44" si="37">IF(C6="","",MAX(C18,0)/C6)</f>
        <v>4.0883763120383568E-2</v>
      </c>
      <c r="D44" s="146">
        <f t="shared" si="37"/>
        <v>2.9395857885609465E-2</v>
      </c>
      <c r="E44" s="146">
        <f t="shared" si="37"/>
        <v>8.9049969572670459E-2</v>
      </c>
      <c r="F44" s="146">
        <f t="shared" si="37"/>
        <v>0</v>
      </c>
      <c r="G44" s="146">
        <f t="shared" si="37"/>
        <v>0</v>
      </c>
      <c r="H44" s="146">
        <f t="shared" si="37"/>
        <v>0</v>
      </c>
      <c r="I44" s="146" t="str">
        <f t="shared" si="37"/>
        <v/>
      </c>
      <c r="J44" s="146" t="str">
        <f t="shared" si="37"/>
        <v/>
      </c>
      <c r="K44" s="146" t="str">
        <f t="shared" si="37"/>
        <v/>
      </c>
      <c r="L44" s="146" t="str">
        <f t="shared" si="37"/>
        <v/>
      </c>
      <c r="M44" s="146" t="str">
        <f t="shared" si="37"/>
        <v/>
      </c>
      <c r="N44" s="3"/>
    </row>
    <row r="45" spans="1:14" ht="15.75" customHeight="1" x14ac:dyDescent="0.35">
      <c r="A45" s="135"/>
      <c r="B45" s="263" t="s">
        <v>111</v>
      </c>
      <c r="C45" s="146">
        <f t="shared" ref="C45:M45" si="38">IF(C6="","",MAX(C19,0)/C6)</f>
        <v>3.8885650375487034E-3</v>
      </c>
      <c r="D45" s="146">
        <f t="shared" si="38"/>
        <v>1.7334505274905901E-3</v>
      </c>
      <c r="E45" s="146">
        <f t="shared" si="38"/>
        <v>1.9677447304235723E-3</v>
      </c>
      <c r="F45" s="146">
        <f t="shared" si="38"/>
        <v>3.2556042627888463E-3</v>
      </c>
      <c r="G45" s="146">
        <f t="shared" si="38"/>
        <v>5.6147664039083583E-3</v>
      </c>
      <c r="H45" s="146">
        <f t="shared" si="38"/>
        <v>2.1597113239037349E-3</v>
      </c>
      <c r="I45" s="146" t="str">
        <f t="shared" si="38"/>
        <v/>
      </c>
      <c r="J45" s="146" t="str">
        <f t="shared" si="38"/>
        <v/>
      </c>
      <c r="K45" s="146" t="str">
        <f t="shared" si="38"/>
        <v/>
      </c>
      <c r="L45" s="146" t="str">
        <f t="shared" si="38"/>
        <v/>
      </c>
      <c r="M45" s="146" t="str">
        <f t="shared" si="38"/>
        <v/>
      </c>
      <c r="N45" s="3"/>
    </row>
    <row r="46" spans="1:14" ht="15.75" customHeight="1" x14ac:dyDescent="0.35">
      <c r="A46" s="135"/>
      <c r="B46" s="263" t="s">
        <v>118</v>
      </c>
      <c r="C46" s="146">
        <f t="shared" ref="C46:M46" si="39">IF(C6="","",MAX(C12,0)/C6)</f>
        <v>0</v>
      </c>
      <c r="D46" s="146">
        <f t="shared" si="39"/>
        <v>0</v>
      </c>
      <c r="E46" s="146">
        <f t="shared" si="39"/>
        <v>0</v>
      </c>
      <c r="F46" s="146">
        <f t="shared" si="39"/>
        <v>2.7068908541056925E-4</v>
      </c>
      <c r="G46" s="146">
        <f t="shared" si="39"/>
        <v>1.5868817930031392E-4</v>
      </c>
      <c r="H46" s="146">
        <f t="shared" si="39"/>
        <v>9.1702453784649294E-4</v>
      </c>
      <c r="I46" s="146" t="str">
        <f t="shared" si="39"/>
        <v/>
      </c>
      <c r="J46" s="146" t="str">
        <f t="shared" si="39"/>
        <v/>
      </c>
      <c r="K46" s="146" t="str">
        <f t="shared" si="39"/>
        <v/>
      </c>
      <c r="L46" s="146" t="str">
        <f t="shared" si="39"/>
        <v/>
      </c>
      <c r="M46" s="146" t="str">
        <f t="shared" si="39"/>
        <v/>
      </c>
      <c r="N46" s="3"/>
    </row>
    <row r="47" spans="1:14" ht="15.75" customHeight="1" x14ac:dyDescent="0.35">
      <c r="A47" s="135"/>
      <c r="B47" s="263" t="s">
        <v>208</v>
      </c>
      <c r="C47" s="146">
        <f t="shared" ref="C47:M47" si="40">IF(C6="","",ABS(MAX(C23,0)-MAX(C21,0))/C6)</f>
        <v>1.1995462340308556E-2</v>
      </c>
      <c r="D47" s="146">
        <f t="shared" si="40"/>
        <v>2.4948813826595171E-2</v>
      </c>
      <c r="E47" s="146">
        <f t="shared" si="40"/>
        <v>7.9989415395709056E-4</v>
      </c>
      <c r="F47" s="146">
        <f t="shared" si="40"/>
        <v>4.5986637453611673E-2</v>
      </c>
      <c r="G47" s="146">
        <f t="shared" si="40"/>
        <v>5.4955455296355961E-2</v>
      </c>
      <c r="H47" s="146">
        <f t="shared" si="40"/>
        <v>0</v>
      </c>
      <c r="I47" s="146" t="str">
        <f t="shared" si="40"/>
        <v/>
      </c>
      <c r="J47" s="146" t="str">
        <f t="shared" si="40"/>
        <v/>
      </c>
      <c r="K47" s="146" t="str">
        <f t="shared" si="40"/>
        <v/>
      </c>
      <c r="L47" s="146" t="str">
        <f t="shared" si="40"/>
        <v/>
      </c>
      <c r="M47" s="146" t="str">
        <f t="shared" si="40"/>
        <v/>
      </c>
      <c r="N47" s="3"/>
    </row>
    <row r="48" spans="1:14" ht="15.75" customHeight="1" x14ac:dyDescent="0.35">
      <c r="A48" s="135"/>
      <c r="B48" s="280" t="s">
        <v>113</v>
      </c>
      <c r="C48" s="281">
        <f t="shared" ref="C48:M48" si="41">IF(C6="","",C24/C6)</f>
        <v>6.5689318556316406E-2</v>
      </c>
      <c r="D48" s="281">
        <f t="shared" si="41"/>
        <v>5.7705460181314769E-2</v>
      </c>
      <c r="E48" s="281">
        <f t="shared" si="41"/>
        <v>2.9049644128462542E-2</v>
      </c>
      <c r="F48" s="281">
        <f t="shared" si="41"/>
        <v>5.6321573818542393E-2</v>
      </c>
      <c r="G48" s="281">
        <f t="shared" si="41"/>
        <v>4.6516288549351172E-2</v>
      </c>
      <c r="H48" s="281">
        <f t="shared" si="41"/>
        <v>9.8882155663402055E-2</v>
      </c>
      <c r="I48" s="281" t="str">
        <f t="shared" si="41"/>
        <v/>
      </c>
      <c r="J48" s="281" t="str">
        <f t="shared" si="41"/>
        <v/>
      </c>
      <c r="K48" s="281" t="str">
        <f t="shared" si="41"/>
        <v/>
      </c>
      <c r="L48" s="281" t="str">
        <f t="shared" si="41"/>
        <v/>
      </c>
      <c r="M48" s="281" t="str">
        <f t="shared" si="41"/>
        <v/>
      </c>
      <c r="N48" s="3"/>
    </row>
    <row r="49" spans="1:14" ht="15.75" customHeight="1" x14ac:dyDescent="0.35">
      <c r="A49" s="129"/>
      <c r="B49" s="270" t="s">
        <v>230</v>
      </c>
      <c r="C49" s="151" t="s">
        <v>246</v>
      </c>
      <c r="D49" s="152"/>
      <c r="E49" s="152"/>
      <c r="F49" s="152"/>
      <c r="G49" s="152"/>
      <c r="H49" s="152"/>
      <c r="I49" s="152"/>
      <c r="J49" s="152"/>
      <c r="K49" s="152"/>
      <c r="L49" s="152"/>
      <c r="M49" s="152"/>
      <c r="N49" s="3"/>
    </row>
    <row r="50" spans="1:14" ht="15.75" customHeight="1" x14ac:dyDescent="0.35">
      <c r="A50" s="135"/>
      <c r="B50" s="271" t="s">
        <v>236</v>
      </c>
      <c r="C50" s="153">
        <f t="shared" ref="C50:M50" si="42">IF(C6="","",C6/C29)</f>
        <v>0.90933332162498015</v>
      </c>
      <c r="D50" s="153">
        <f t="shared" si="42"/>
        <v>0.81551983462257005</v>
      </c>
      <c r="E50" s="153">
        <f t="shared" si="42"/>
        <v>0.73420399704411943</v>
      </c>
      <c r="F50" s="153">
        <f t="shared" si="42"/>
        <v>0.62093318504188499</v>
      </c>
      <c r="G50" s="153" t="e">
        <f t="shared" si="42"/>
        <v>#VALUE!</v>
      </c>
      <c r="H50" s="153" t="e">
        <f t="shared" si="42"/>
        <v>#VALUE!</v>
      </c>
      <c r="I50" s="153" t="str">
        <f t="shared" si="42"/>
        <v/>
      </c>
      <c r="J50" s="153" t="str">
        <f t="shared" si="42"/>
        <v/>
      </c>
      <c r="K50" s="153" t="str">
        <f t="shared" si="42"/>
        <v/>
      </c>
      <c r="L50" s="153" t="str">
        <f t="shared" si="42"/>
        <v/>
      </c>
      <c r="M50" s="153" t="str">
        <f t="shared" si="42"/>
        <v/>
      </c>
      <c r="N50" s="3"/>
    </row>
    <row r="51" spans="1:14" ht="15.75" customHeight="1" x14ac:dyDescent="0.35">
      <c r="A51" s="135"/>
      <c r="B51" s="263" t="s">
        <v>237</v>
      </c>
      <c r="C51" s="146">
        <f t="shared" ref="C51:M51" si="43">IF(C30="","",C30/C6)</f>
        <v>1.7341358408692387E-2</v>
      </c>
      <c r="D51" s="146">
        <f t="shared" si="43"/>
        <v>1.7851543232655226E-2</v>
      </c>
      <c r="E51" s="146">
        <f t="shared" si="43"/>
        <v>1.5992004636642819E-2</v>
      </c>
      <c r="F51" s="146">
        <f t="shared" si="43"/>
        <v>3.1297541510393184E-2</v>
      </c>
      <c r="G51" s="146" t="str">
        <f t="shared" si="43"/>
        <v/>
      </c>
      <c r="H51" s="146" t="str">
        <f t="shared" si="43"/>
        <v/>
      </c>
      <c r="I51" s="146" t="str">
        <f t="shared" si="43"/>
        <v/>
      </c>
      <c r="J51" s="146" t="str">
        <f t="shared" si="43"/>
        <v/>
      </c>
      <c r="K51" s="146" t="str">
        <f t="shared" si="43"/>
        <v/>
      </c>
      <c r="L51" s="146" t="str">
        <f t="shared" si="43"/>
        <v/>
      </c>
      <c r="M51" s="146" t="str">
        <f t="shared" si="43"/>
        <v/>
      </c>
      <c r="N51" s="3"/>
    </row>
    <row r="52" spans="1:14" ht="15.75" customHeight="1" x14ac:dyDescent="0.35">
      <c r="A52" s="135"/>
      <c r="B52" s="263" t="s">
        <v>238</v>
      </c>
      <c r="C52" s="146">
        <f t="shared" ref="C52:M52" si="44">IF(C31="","",C31/C6)</f>
        <v>0.63110270011109249</v>
      </c>
      <c r="D52" s="146">
        <f t="shared" si="44"/>
        <v>0.73908217538982812</v>
      </c>
      <c r="E52" s="146">
        <f t="shared" si="44"/>
        <v>0.74709926550990846</v>
      </c>
      <c r="F52" s="146">
        <f t="shared" si="44"/>
        <v>0.82624277267477186</v>
      </c>
      <c r="G52" s="146" t="str">
        <f t="shared" si="44"/>
        <v/>
      </c>
      <c r="H52" s="146" t="str">
        <f t="shared" si="44"/>
        <v/>
      </c>
      <c r="I52" s="146" t="str">
        <f t="shared" si="44"/>
        <v/>
      </c>
      <c r="J52" s="146" t="str">
        <f t="shared" si="44"/>
        <v/>
      </c>
      <c r="K52" s="146" t="str">
        <f t="shared" si="44"/>
        <v/>
      </c>
      <c r="L52" s="146" t="str">
        <f t="shared" si="44"/>
        <v/>
      </c>
      <c r="M52" s="146" t="str">
        <f t="shared" si="44"/>
        <v/>
      </c>
      <c r="N52" s="3"/>
    </row>
    <row r="53" spans="1:14" ht="15.75" customHeight="1" x14ac:dyDescent="0.35">
      <c r="A53" s="135"/>
      <c r="B53" s="263" t="s">
        <v>228</v>
      </c>
      <c r="C53" s="146">
        <f t="shared" ref="C53:M53" si="45">IF(D6="","",C18/(C6-D6))</f>
        <v>0.18714483778648183</v>
      </c>
      <c r="D53" s="146">
        <f t="shared" si="45"/>
        <v>1.4668285834503272</v>
      </c>
      <c r="E53" s="146">
        <f t="shared" si="45"/>
        <v>0.3633800202192411</v>
      </c>
      <c r="F53" s="146">
        <f t="shared" si="45"/>
        <v>0.34507864490338203</v>
      </c>
      <c r="G53" s="146" t="e">
        <f t="shared" si="45"/>
        <v>#VALUE!</v>
      </c>
      <c r="H53" s="146" t="str">
        <f t="shared" si="45"/>
        <v/>
      </c>
      <c r="I53" s="146" t="str">
        <f t="shared" si="45"/>
        <v/>
      </c>
      <c r="J53" s="146" t="str">
        <f t="shared" si="45"/>
        <v/>
      </c>
      <c r="K53" s="146" t="str">
        <f t="shared" si="45"/>
        <v/>
      </c>
      <c r="L53" s="146" t="str">
        <f t="shared" si="45"/>
        <v/>
      </c>
      <c r="M53" s="146" t="str">
        <f t="shared" si="45"/>
        <v/>
      </c>
      <c r="N53" s="3"/>
    </row>
    <row r="54" spans="1:14" ht="15.75" customHeight="1" x14ac:dyDescent="0.35">
      <c r="A54" s="129"/>
      <c r="B54" s="270" t="s">
        <v>231</v>
      </c>
      <c r="C54" s="152"/>
      <c r="D54" s="152"/>
      <c r="E54" s="152"/>
      <c r="F54" s="152"/>
      <c r="G54" s="152"/>
      <c r="H54" s="152"/>
      <c r="I54" s="152"/>
      <c r="J54" s="152"/>
      <c r="K54" s="152"/>
      <c r="L54" s="152"/>
      <c r="M54" s="152"/>
    </row>
    <row r="55" spans="1:14" ht="15.75" customHeight="1" x14ac:dyDescent="0.35">
      <c r="A55" s="135"/>
      <c r="B55" s="269" t="s">
        <v>232</v>
      </c>
      <c r="C55" s="150">
        <f t="shared" ref="C55:M55" si="46">IF(C36="","",(C36-C37)/C29)</f>
        <v>0.76485172952944758</v>
      </c>
      <c r="D55" s="150">
        <f t="shared" si="46"/>
        <v>0.83210523760784183</v>
      </c>
      <c r="E55" s="150">
        <f t="shared" si="46"/>
        <v>0.755487200504106</v>
      </c>
      <c r="F55" s="150">
        <f t="shared" si="46"/>
        <v>0.79348442112940121</v>
      </c>
      <c r="G55" s="150" t="str">
        <f t="shared" si="46"/>
        <v/>
      </c>
      <c r="H55" s="150" t="str">
        <f t="shared" si="46"/>
        <v/>
      </c>
      <c r="I55" s="150" t="str">
        <f t="shared" si="46"/>
        <v/>
      </c>
      <c r="J55" s="150" t="str">
        <f t="shared" si="46"/>
        <v/>
      </c>
      <c r="K55" s="150" t="str">
        <f t="shared" si="46"/>
        <v/>
      </c>
      <c r="L55" s="150" t="str">
        <f t="shared" si="46"/>
        <v/>
      </c>
      <c r="M55" s="150" t="str">
        <f t="shared" si="46"/>
        <v/>
      </c>
    </row>
    <row r="56" spans="1:14" ht="15.75" customHeight="1" x14ac:dyDescent="0.35">
      <c r="A56" s="135"/>
      <c r="B56" s="263" t="s">
        <v>110</v>
      </c>
      <c r="C56" s="154">
        <f t="shared" ref="C56:M56" si="47">IF(OR(C24="",C35=""),"",IF(C35&lt;=0,"-",C24/C35))</f>
        <v>0.49473739042577553</v>
      </c>
      <c r="D56" s="154">
        <f t="shared" si="47"/>
        <v>0.62668029093309296</v>
      </c>
      <c r="E56" s="154">
        <f t="shared" si="47"/>
        <v>0.19585215869941563</v>
      </c>
      <c r="F56" s="154">
        <f t="shared" si="47"/>
        <v>0.44091214815443042</v>
      </c>
      <c r="G56" s="154" t="str">
        <f t="shared" si="47"/>
        <v/>
      </c>
      <c r="H56" s="154" t="str">
        <f t="shared" si="47"/>
        <v/>
      </c>
      <c r="I56" s="154" t="str">
        <f t="shared" si="47"/>
        <v/>
      </c>
      <c r="J56" s="154" t="str">
        <f t="shared" si="47"/>
        <v/>
      </c>
      <c r="K56" s="154" t="str">
        <f t="shared" si="47"/>
        <v/>
      </c>
      <c r="L56" s="154" t="str">
        <f t="shared" si="47"/>
        <v/>
      </c>
      <c r="M56" s="154" t="str">
        <f t="shared" si="47"/>
        <v/>
      </c>
    </row>
    <row r="57" spans="1:14" ht="15.75" customHeight="1" x14ac:dyDescent="0.35">
      <c r="A57" s="135"/>
      <c r="B57" s="263" t="s">
        <v>112</v>
      </c>
      <c r="C57" s="146">
        <f t="shared" ref="C57:M57" si="48">IF(C24="","",IF(MAX(C19,0)&lt;=0,"-",C19/C24))</f>
        <v>5.919630653825371E-2</v>
      </c>
      <c r="D57" s="146">
        <f t="shared" si="48"/>
        <v>3.0039627481419643E-2</v>
      </c>
      <c r="E57" s="146">
        <f t="shared" si="48"/>
        <v>6.773730933576555E-2</v>
      </c>
      <c r="F57" s="146">
        <f t="shared" si="48"/>
        <v>5.7803858132192749E-2</v>
      </c>
      <c r="G57" s="146">
        <f t="shared" si="48"/>
        <v>0.12070538254468445</v>
      </c>
      <c r="H57" s="146">
        <f t="shared" si="48"/>
        <v>2.1841264578165751E-2</v>
      </c>
      <c r="I57" s="146" t="str">
        <f t="shared" si="48"/>
        <v/>
      </c>
      <c r="J57" s="146" t="str">
        <f t="shared" si="48"/>
        <v/>
      </c>
      <c r="K57" s="146" t="str">
        <f t="shared" si="48"/>
        <v/>
      </c>
      <c r="L57" s="146" t="str">
        <f t="shared" si="48"/>
        <v/>
      </c>
      <c r="M57" s="146" t="str">
        <f t="shared" si="48"/>
        <v/>
      </c>
    </row>
    <row r="58" spans="1:14" ht="15.75" customHeight="1" x14ac:dyDescent="0.35">
      <c r="A58" s="135"/>
      <c r="B58" s="263" t="s">
        <v>250</v>
      </c>
      <c r="C58" s="146">
        <f>IF(C36="","",IF(Inputs!C38=0,0,Inputs!C38/C29))</f>
        <v>6.499061591317086E-2</v>
      </c>
      <c r="D58" s="146">
        <f>IF(D36="","",IF(Inputs!D38=0,0,Inputs!D38/D29))</f>
        <v>7.4847149316627282E-2</v>
      </c>
      <c r="E58" s="146">
        <f>IF(E36="","",IF(Inputs!E38=0,0,Inputs!E38/E29))</f>
        <v>6.9289303873106806E-2</v>
      </c>
      <c r="F58" s="146">
        <f>IF(F36="","",IF(Inputs!F38=0,0,Inputs!F38/F29))</f>
        <v>7.8643775108618905E-2</v>
      </c>
      <c r="G58" s="146" t="str">
        <f>IF(G36="","",IF(Inputs!G38=0,0,Inputs!G38/G29))</f>
        <v/>
      </c>
      <c r="H58" s="146" t="str">
        <f>IF(H36="","",IF(Inputs!H38=0,0,Inputs!H38/H29))</f>
        <v/>
      </c>
      <c r="I58" s="146" t="str">
        <f>IF(I36="","",IF(Inputs!I38=0,0,Inputs!I38/I29))</f>
        <v/>
      </c>
      <c r="J58" s="146" t="str">
        <f>IF(J36="","",IF(Inputs!J38=0,0,Inputs!J38/J29))</f>
        <v/>
      </c>
      <c r="K58" s="146" t="str">
        <f>IF(K36="","",IF(Inputs!K38=0,0,Inputs!K38/K29))</f>
        <v/>
      </c>
      <c r="L58" s="146" t="str">
        <f>IF(L36="","",IF(Inputs!L38=0,0,Inputs!L38/L29))</f>
        <v/>
      </c>
      <c r="M58" s="146" t="str">
        <f>IF(M36="","",IF(Inputs!M38=0,0,Inputs!M38/M29))</f>
        <v/>
      </c>
    </row>
    <row r="59" spans="1:14" ht="15.75" customHeight="1" x14ac:dyDescent="0.35">
      <c r="A59" s="129"/>
      <c r="B59" s="270" t="s">
        <v>233</v>
      </c>
      <c r="C59" s="155" t="str">
        <f t="shared" ref="C59:M59" si="49">IFERROR(IF(C13*C50*(1/C55)=C60,"","Error"),"")</f>
        <v/>
      </c>
      <c r="D59" s="155" t="str">
        <f t="shared" si="49"/>
        <v/>
      </c>
      <c r="E59" s="155" t="str">
        <f t="shared" si="49"/>
        <v/>
      </c>
      <c r="F59" s="155" t="str">
        <f t="shared" si="49"/>
        <v/>
      </c>
      <c r="G59" s="155" t="str">
        <f t="shared" si="49"/>
        <v/>
      </c>
      <c r="H59" s="155" t="str">
        <f t="shared" si="49"/>
        <v/>
      </c>
      <c r="I59" s="155" t="str">
        <f t="shared" si="49"/>
        <v/>
      </c>
      <c r="J59" s="155" t="str">
        <f t="shared" si="49"/>
        <v/>
      </c>
      <c r="K59" s="155" t="str">
        <f t="shared" si="49"/>
        <v/>
      </c>
      <c r="L59" s="155" t="str">
        <f t="shared" si="49"/>
        <v/>
      </c>
      <c r="M59" s="155" t="str">
        <f t="shared" si="49"/>
        <v/>
      </c>
    </row>
    <row r="60" spans="1:14" ht="15.75" customHeight="1" x14ac:dyDescent="0.35">
      <c r="A60" s="135"/>
      <c r="B60" s="271" t="s">
        <v>234</v>
      </c>
      <c r="C60" s="156">
        <f t="shared" ref="C60:M60" si="50">IF(C14="","",C14/(C36-C37))</f>
        <v>0.14558943313324324</v>
      </c>
      <c r="D60" s="156">
        <f t="shared" si="50"/>
        <v>0.11151566427524089</v>
      </c>
      <c r="E60" s="156">
        <f t="shared" si="50"/>
        <v>0.11746224145268362</v>
      </c>
      <c r="F60" s="156">
        <f t="shared" si="50"/>
        <v>8.2607893059814155E-2</v>
      </c>
      <c r="G60" s="156" t="e">
        <f t="shared" si="50"/>
        <v>#VALUE!</v>
      </c>
      <c r="H60" s="156" t="e">
        <f t="shared" si="50"/>
        <v>#VALUE!</v>
      </c>
      <c r="I60" s="156" t="str">
        <f t="shared" si="50"/>
        <v/>
      </c>
      <c r="J60" s="156" t="str">
        <f t="shared" si="50"/>
        <v/>
      </c>
      <c r="K60" s="156" t="str">
        <f t="shared" si="50"/>
        <v/>
      </c>
      <c r="L60" s="156" t="str">
        <f t="shared" si="50"/>
        <v/>
      </c>
      <c r="M60" s="156" t="str">
        <f t="shared" si="50"/>
        <v/>
      </c>
    </row>
    <row r="61" spans="1:14" ht="15.75" customHeight="1" x14ac:dyDescent="0.35">
      <c r="A61" s="135"/>
      <c r="B61" s="271" t="s">
        <v>235</v>
      </c>
      <c r="C61" s="156">
        <f t="shared" ref="C61:M61" si="51">IF(C24="","",C24/(C36-C37))</f>
        <v>7.8098125338418076E-2</v>
      </c>
      <c r="D61" s="156">
        <f t="shared" si="51"/>
        <v>5.6555283174486805E-2</v>
      </c>
      <c r="E61" s="156">
        <f t="shared" si="51"/>
        <v>2.8231272240740648E-2</v>
      </c>
      <c r="F61" s="156">
        <f t="shared" si="51"/>
        <v>4.4073876293553541E-2</v>
      </c>
      <c r="G61" s="156" t="e">
        <f t="shared" si="51"/>
        <v>#VALUE!</v>
      </c>
      <c r="H61" s="156" t="e">
        <f t="shared" si="51"/>
        <v>#VALUE!</v>
      </c>
      <c r="I61" s="156" t="str">
        <f t="shared" si="51"/>
        <v/>
      </c>
      <c r="J61" s="156" t="str">
        <f t="shared" si="51"/>
        <v/>
      </c>
      <c r="K61" s="156" t="str">
        <f t="shared" si="51"/>
        <v/>
      </c>
      <c r="L61" s="156" t="str">
        <f t="shared" si="51"/>
        <v/>
      </c>
      <c r="M61" s="156" t="str">
        <f t="shared" si="51"/>
        <v/>
      </c>
    </row>
    <row r="62" spans="1:14" ht="15.75" customHeight="1" x14ac:dyDescent="0.35">
      <c r="A62" s="135"/>
    </row>
    <row r="63" spans="1:14" ht="15.75" customHeight="1" x14ac:dyDescent="0.35">
      <c r="A63" s="135"/>
    </row>
    <row r="64" spans="1:14" ht="15.75" customHeight="1" x14ac:dyDescent="0.35">
      <c r="A64" s="135"/>
    </row>
    <row r="65" spans="1:1" ht="15.75" customHeight="1" x14ac:dyDescent="0.35">
      <c r="A65" s="135"/>
    </row>
    <row r="66" spans="1:1" ht="15.75" customHeight="1" x14ac:dyDescent="0.35">
      <c r="A66" s="135"/>
    </row>
    <row r="67" spans="1:1" ht="15.75" customHeight="1" x14ac:dyDescent="0.35">
      <c r="A67" s="135"/>
    </row>
    <row r="68" spans="1:1" ht="15.75" customHeight="1" x14ac:dyDescent="0.35">
      <c r="A68" s="135"/>
    </row>
    <row r="69" spans="1:1" ht="15.75" customHeight="1" x14ac:dyDescent="0.35">
      <c r="A69" s="135"/>
    </row>
    <row r="70" spans="1:1" ht="15.75" customHeight="1" x14ac:dyDescent="0.35">
      <c r="A70" s="135"/>
    </row>
    <row r="71" spans="1:1" ht="15.75" customHeight="1" x14ac:dyDescent="0.35">
      <c r="A71" s="135"/>
    </row>
    <row r="72" spans="1:1" ht="15.75" customHeight="1" x14ac:dyDescent="0.35">
      <c r="A72" s="135"/>
    </row>
    <row r="73" spans="1:1" ht="15.75" customHeight="1" x14ac:dyDescent="0.35">
      <c r="A73" s="135"/>
    </row>
    <row r="74" spans="1:1" ht="15.75" customHeight="1" x14ac:dyDescent="0.35">
      <c r="A74" s="135"/>
    </row>
    <row r="75" spans="1:1" ht="15.75" customHeight="1" x14ac:dyDescent="0.35">
      <c r="A75" s="135"/>
    </row>
    <row r="76" spans="1:1" ht="15.75" customHeight="1" x14ac:dyDescent="0.35">
      <c r="A76" s="135"/>
    </row>
    <row r="77" spans="1:1" ht="15.75" customHeight="1" x14ac:dyDescent="0.35">
      <c r="A77" s="135"/>
    </row>
    <row r="78" spans="1:1" ht="15.75" customHeight="1" x14ac:dyDescent="0.35">
      <c r="A78" s="135"/>
    </row>
    <row r="79" spans="1:1" ht="15.75" customHeight="1" x14ac:dyDescent="0.35">
      <c r="A79" s="135"/>
    </row>
    <row r="80" spans="1:1" ht="15.75" customHeight="1" x14ac:dyDescent="0.35">
      <c r="A80" s="135"/>
    </row>
    <row r="81" spans="1:1" ht="15.75" customHeight="1" x14ac:dyDescent="0.35">
      <c r="A81" s="135"/>
    </row>
    <row r="82" spans="1:1" ht="15.75" customHeight="1" x14ac:dyDescent="0.35">
      <c r="A82" s="135"/>
    </row>
    <row r="83" spans="1:1" ht="15.75" customHeight="1" x14ac:dyDescent="0.35">
      <c r="A83" s="135"/>
    </row>
    <row r="84" spans="1:1" ht="15.75" customHeight="1" x14ac:dyDescent="0.35">
      <c r="A84" s="135"/>
    </row>
    <row r="85" spans="1:1" ht="15.75" customHeight="1" x14ac:dyDescent="0.35">
      <c r="A85" s="135"/>
    </row>
    <row r="86" spans="1:1" ht="15.75" customHeight="1" x14ac:dyDescent="0.35">
      <c r="A86" s="135"/>
    </row>
    <row r="87" spans="1:1" ht="15.75" customHeight="1" x14ac:dyDescent="0.35">
      <c r="A87" s="135"/>
    </row>
    <row r="88" spans="1:1" ht="15.75" customHeight="1" x14ac:dyDescent="0.35">
      <c r="A88" s="135"/>
    </row>
    <row r="89" spans="1:1" ht="15.75" customHeight="1" x14ac:dyDescent="0.35">
      <c r="A89" s="135"/>
    </row>
    <row r="90" spans="1:1" ht="15.75" customHeight="1" x14ac:dyDescent="0.35">
      <c r="A90" s="135"/>
    </row>
    <row r="91" spans="1:1" ht="15.75" customHeight="1" x14ac:dyDescent="0.35">
      <c r="A91" s="135"/>
    </row>
    <row r="92" spans="1:1" ht="15.75" customHeight="1" x14ac:dyDescent="0.35">
      <c r="A92" s="135"/>
    </row>
    <row r="93" spans="1:1" ht="15.75" customHeight="1" x14ac:dyDescent="0.35">
      <c r="A93" s="135"/>
    </row>
    <row r="94" spans="1:1" ht="15.75" customHeight="1" x14ac:dyDescent="0.35">
      <c r="A94" s="135"/>
    </row>
    <row r="95" spans="1:1" ht="15.75" customHeight="1" x14ac:dyDescent="0.35">
      <c r="A95" s="135"/>
    </row>
    <row r="96" spans="1:1" ht="15.75" customHeight="1" x14ac:dyDescent="0.35">
      <c r="A96" s="135"/>
    </row>
    <row r="97" spans="1:1" ht="15.75" customHeight="1" x14ac:dyDescent="0.35">
      <c r="A97" s="135"/>
    </row>
    <row r="98" spans="1:1" ht="15.75" customHeight="1" x14ac:dyDescent="0.35">
      <c r="A98" s="135"/>
    </row>
    <row r="99" spans="1:1" ht="15.75" customHeight="1" x14ac:dyDescent="0.35">
      <c r="A99" s="135"/>
    </row>
    <row r="100" spans="1:1" ht="15.75" customHeight="1" x14ac:dyDescent="0.35">
      <c r="A100" s="135"/>
    </row>
    <row r="101" spans="1:1" ht="15.75" customHeight="1" x14ac:dyDescent="0.35">
      <c r="A101" s="135"/>
    </row>
    <row r="102" spans="1:1" ht="15.75" customHeight="1" x14ac:dyDescent="0.35">
      <c r="A102" s="135"/>
    </row>
    <row r="103" spans="1:1" ht="15.75" customHeight="1" x14ac:dyDescent="0.35">
      <c r="A103" s="135"/>
    </row>
    <row r="104" spans="1:1" ht="15.75" customHeight="1" x14ac:dyDescent="0.35">
      <c r="A104" s="135"/>
    </row>
    <row r="105" spans="1:1" ht="15.75" customHeight="1" x14ac:dyDescent="0.35">
      <c r="A105" s="135"/>
    </row>
    <row r="106" spans="1:1" ht="15.75" customHeight="1" x14ac:dyDescent="0.35">
      <c r="A106" s="135"/>
    </row>
    <row r="107" spans="1:1" ht="15.75" customHeight="1" x14ac:dyDescent="0.35">
      <c r="A107" s="135"/>
    </row>
    <row r="108" spans="1:1" ht="15.75" customHeight="1" x14ac:dyDescent="0.35">
      <c r="A108" s="135"/>
    </row>
    <row r="109" spans="1:1" ht="15.75" customHeight="1" x14ac:dyDescent="0.35">
      <c r="A109" s="135"/>
    </row>
    <row r="110" spans="1:1" ht="15.75" customHeight="1" x14ac:dyDescent="0.35">
      <c r="A110" s="135"/>
    </row>
    <row r="111" spans="1:1" ht="15.75" customHeight="1" x14ac:dyDescent="0.35">
      <c r="A111" s="135"/>
    </row>
    <row r="112" spans="1:1" ht="15.75" customHeight="1" x14ac:dyDescent="0.35">
      <c r="A112" s="135"/>
    </row>
    <row r="113" spans="1:1" ht="15.75" customHeight="1" x14ac:dyDescent="0.35">
      <c r="A113" s="135"/>
    </row>
    <row r="114" spans="1:1" ht="15.75" customHeight="1" x14ac:dyDescent="0.35">
      <c r="A114" s="135"/>
    </row>
    <row r="115" spans="1:1" ht="15.75" customHeight="1" x14ac:dyDescent="0.35">
      <c r="A115" s="135"/>
    </row>
    <row r="116" spans="1:1" ht="15.75" customHeight="1" x14ac:dyDescent="0.35">
      <c r="A116" s="135"/>
    </row>
    <row r="117" spans="1:1" ht="15.75" customHeight="1" x14ac:dyDescent="0.35">
      <c r="A117" s="135"/>
    </row>
    <row r="118" spans="1:1" ht="15.75" customHeight="1" x14ac:dyDescent="0.35">
      <c r="A118" s="135"/>
    </row>
    <row r="119" spans="1:1" ht="15.75" customHeight="1" x14ac:dyDescent="0.35">
      <c r="A119" s="135"/>
    </row>
    <row r="120" spans="1:1" ht="15.75" customHeight="1" x14ac:dyDescent="0.35">
      <c r="A120" s="135"/>
    </row>
    <row r="121" spans="1:1" ht="15.75" customHeight="1" x14ac:dyDescent="0.35">
      <c r="A121" s="135"/>
    </row>
    <row r="122" spans="1:1" ht="15.75" customHeight="1" x14ac:dyDescent="0.35">
      <c r="A122" s="135"/>
    </row>
    <row r="123" spans="1:1" ht="15.75" customHeight="1" x14ac:dyDescent="0.35">
      <c r="A123" s="135"/>
    </row>
    <row r="124" spans="1:1" ht="15.75" customHeight="1" x14ac:dyDescent="0.35">
      <c r="A124" s="135"/>
    </row>
    <row r="125" spans="1:1" ht="15.75" customHeight="1" x14ac:dyDescent="0.35">
      <c r="A125" s="135"/>
    </row>
    <row r="126" spans="1:1" ht="15.75" customHeight="1" x14ac:dyDescent="0.35">
      <c r="A126" s="135"/>
    </row>
    <row r="127" spans="1:1" ht="15.75" customHeight="1" x14ac:dyDescent="0.35">
      <c r="A127" s="135"/>
    </row>
    <row r="128" spans="1:1" ht="15.75" customHeight="1" x14ac:dyDescent="0.35">
      <c r="A128" s="135"/>
    </row>
    <row r="129" spans="1:1" ht="15.75" customHeight="1" x14ac:dyDescent="0.35">
      <c r="A129" s="135"/>
    </row>
    <row r="130" spans="1:1" ht="15.75" customHeight="1" x14ac:dyDescent="0.35">
      <c r="A130" s="135"/>
    </row>
    <row r="131" spans="1:1" ht="15.75" customHeight="1" x14ac:dyDescent="0.35">
      <c r="A131" s="135"/>
    </row>
    <row r="132" spans="1:1" ht="15.75" customHeight="1" x14ac:dyDescent="0.35">
      <c r="A132" s="135"/>
    </row>
    <row r="133" spans="1:1" ht="15.75" customHeight="1" x14ac:dyDescent="0.35">
      <c r="A133" s="135"/>
    </row>
    <row r="134" spans="1:1" ht="15.75" customHeight="1" x14ac:dyDescent="0.35">
      <c r="A134" s="135"/>
    </row>
    <row r="135" spans="1:1" ht="15.75" customHeight="1" x14ac:dyDescent="0.35">
      <c r="A135" s="135"/>
    </row>
    <row r="136" spans="1:1" ht="15.75" customHeight="1" x14ac:dyDescent="0.35">
      <c r="A136" s="135"/>
    </row>
    <row r="137" spans="1:1" ht="15.75" customHeight="1" x14ac:dyDescent="0.35">
      <c r="A137" s="135"/>
    </row>
    <row r="138" spans="1:1" ht="15.75" customHeight="1" x14ac:dyDescent="0.35">
      <c r="A138" s="135"/>
    </row>
    <row r="139" spans="1:1" ht="15.75" customHeight="1" x14ac:dyDescent="0.35">
      <c r="A139" s="135"/>
    </row>
    <row r="140" spans="1:1" ht="15.75" customHeight="1" x14ac:dyDescent="0.35">
      <c r="A140" s="135"/>
    </row>
    <row r="141" spans="1:1" ht="15.75" customHeight="1" x14ac:dyDescent="0.35">
      <c r="A141" s="135"/>
    </row>
    <row r="142" spans="1:1" ht="15.75" customHeight="1" x14ac:dyDescent="0.35">
      <c r="A142" s="135"/>
    </row>
    <row r="143" spans="1:1" ht="15.75" customHeight="1" x14ac:dyDescent="0.35">
      <c r="A143" s="135"/>
    </row>
    <row r="144" spans="1:1" ht="15.75" customHeight="1" x14ac:dyDescent="0.35">
      <c r="A144" s="135"/>
    </row>
    <row r="145" spans="1:1" ht="15.75" customHeight="1" x14ac:dyDescent="0.35">
      <c r="A145" s="135"/>
    </row>
    <row r="146" spans="1:1" ht="15.75" customHeight="1" x14ac:dyDescent="0.35">
      <c r="A146" s="135"/>
    </row>
    <row r="147" spans="1:1" ht="15.75" customHeight="1" x14ac:dyDescent="0.35">
      <c r="A147" s="135"/>
    </row>
    <row r="148" spans="1:1" ht="15.75" customHeight="1" x14ac:dyDescent="0.35">
      <c r="A148" s="135"/>
    </row>
    <row r="149" spans="1:1" ht="15.75" customHeight="1" x14ac:dyDescent="0.35">
      <c r="A149" s="135"/>
    </row>
    <row r="150" spans="1:1" ht="15.75" customHeight="1" x14ac:dyDescent="0.35">
      <c r="A150" s="135"/>
    </row>
    <row r="151" spans="1:1" ht="15.75" customHeight="1" x14ac:dyDescent="0.35">
      <c r="A151" s="135"/>
    </row>
    <row r="152" spans="1:1" ht="15.75" customHeight="1" x14ac:dyDescent="0.35">
      <c r="A152" s="135"/>
    </row>
    <row r="153" spans="1:1" ht="15.75" customHeight="1" x14ac:dyDescent="0.35">
      <c r="A153" s="135"/>
    </row>
    <row r="154" spans="1:1" ht="15.75" customHeight="1" x14ac:dyDescent="0.35">
      <c r="A154" s="135"/>
    </row>
    <row r="155" spans="1:1" ht="15.75" customHeight="1" x14ac:dyDescent="0.35">
      <c r="A155" s="135"/>
    </row>
    <row r="156" spans="1:1" ht="15.75" customHeight="1" x14ac:dyDescent="0.35">
      <c r="A156" s="135"/>
    </row>
    <row r="157" spans="1:1" ht="15.75" customHeight="1" x14ac:dyDescent="0.35">
      <c r="A157" s="135"/>
    </row>
    <row r="158" spans="1:1" ht="15.75" customHeight="1" x14ac:dyDescent="0.35">
      <c r="A158" s="135"/>
    </row>
    <row r="159" spans="1:1" ht="15.75" customHeight="1" x14ac:dyDescent="0.35">
      <c r="A159" s="135"/>
    </row>
    <row r="160" spans="1:1" ht="15.75" customHeight="1" x14ac:dyDescent="0.35">
      <c r="A160" s="135"/>
    </row>
    <row r="161" spans="1:1" ht="15.75" customHeight="1" x14ac:dyDescent="0.35">
      <c r="A161" s="135"/>
    </row>
    <row r="162" spans="1:1" ht="15.75" customHeight="1" x14ac:dyDescent="0.35">
      <c r="A162" s="135"/>
    </row>
    <row r="163" spans="1:1" ht="15.75" customHeight="1" x14ac:dyDescent="0.35">
      <c r="A163" s="135"/>
    </row>
    <row r="164" spans="1:1" ht="15.75" customHeight="1" x14ac:dyDescent="0.35">
      <c r="A164" s="135"/>
    </row>
    <row r="165" spans="1:1" ht="15.75" customHeight="1" x14ac:dyDescent="0.35">
      <c r="A165" s="135"/>
    </row>
    <row r="166" spans="1:1" ht="15.75" customHeight="1" x14ac:dyDescent="0.35">
      <c r="A166" s="135"/>
    </row>
    <row r="167" spans="1:1" ht="15.75" customHeight="1" x14ac:dyDescent="0.35">
      <c r="A167" s="135"/>
    </row>
    <row r="168" spans="1:1" ht="15.75" customHeight="1" x14ac:dyDescent="0.35">
      <c r="A168" s="135"/>
    </row>
    <row r="169" spans="1:1" ht="15.75" customHeight="1" x14ac:dyDescent="0.35">
      <c r="A169" s="135"/>
    </row>
    <row r="170" spans="1:1" ht="15.75" customHeight="1" x14ac:dyDescent="0.35">
      <c r="A170" s="135"/>
    </row>
    <row r="171" spans="1:1" ht="15.75" customHeight="1" x14ac:dyDescent="0.35">
      <c r="A171" s="135"/>
    </row>
    <row r="172" spans="1:1" ht="15.75" customHeight="1" x14ac:dyDescent="0.35">
      <c r="A172" s="135"/>
    </row>
    <row r="173" spans="1:1" ht="15.75" customHeight="1" x14ac:dyDescent="0.35">
      <c r="A173" s="135"/>
    </row>
    <row r="174" spans="1:1" ht="15.75" customHeight="1" x14ac:dyDescent="0.35">
      <c r="A174" s="135"/>
    </row>
    <row r="175" spans="1:1" ht="15.75" customHeight="1" x14ac:dyDescent="0.35">
      <c r="A175" s="135"/>
    </row>
    <row r="176" spans="1:1" ht="15.75" customHeight="1" x14ac:dyDescent="0.35">
      <c r="A176" s="135"/>
    </row>
    <row r="177" spans="1:1" ht="15.75" customHeight="1" x14ac:dyDescent="0.35">
      <c r="A177" s="135"/>
    </row>
    <row r="178" spans="1:1" ht="15.75" customHeight="1" x14ac:dyDescent="0.35">
      <c r="A178" s="135"/>
    </row>
    <row r="179" spans="1:1" ht="15.75" customHeight="1" x14ac:dyDescent="0.35">
      <c r="A179" s="135"/>
    </row>
    <row r="180" spans="1:1" ht="15.75" customHeight="1" x14ac:dyDescent="0.35">
      <c r="A180" s="135"/>
    </row>
    <row r="181" spans="1:1" ht="15.75" customHeight="1" x14ac:dyDescent="0.35">
      <c r="A181" s="135"/>
    </row>
    <row r="182" spans="1:1" ht="15.75" customHeight="1" x14ac:dyDescent="0.35">
      <c r="A182" s="135"/>
    </row>
    <row r="183" spans="1:1" ht="15.75" customHeight="1" x14ac:dyDescent="0.35">
      <c r="A183" s="135"/>
    </row>
    <row r="184" spans="1:1" ht="15.75" customHeight="1" x14ac:dyDescent="0.35">
      <c r="A184" s="135"/>
    </row>
    <row r="185" spans="1:1" ht="15.75" customHeight="1" x14ac:dyDescent="0.35">
      <c r="A185" s="135"/>
    </row>
    <row r="186" spans="1:1" ht="15.75" customHeight="1" x14ac:dyDescent="0.35">
      <c r="A186" s="135"/>
    </row>
    <row r="187" spans="1:1" ht="15.75" customHeight="1" x14ac:dyDescent="0.35">
      <c r="A187" s="135"/>
    </row>
    <row r="188" spans="1:1" ht="15.75" customHeight="1" x14ac:dyDescent="0.35">
      <c r="A188" s="135"/>
    </row>
    <row r="189" spans="1:1" ht="15.75" customHeight="1" x14ac:dyDescent="0.35">
      <c r="A189" s="135"/>
    </row>
    <row r="190" spans="1:1" ht="15.75" customHeight="1" x14ac:dyDescent="0.35">
      <c r="A190" s="135"/>
    </row>
    <row r="191" spans="1:1" ht="15.75" customHeight="1" x14ac:dyDescent="0.35">
      <c r="A191" s="135"/>
    </row>
    <row r="192" spans="1:1" ht="15.75" customHeight="1" x14ac:dyDescent="0.35">
      <c r="A192" s="135"/>
    </row>
    <row r="193" spans="1:1" ht="15.75" customHeight="1" x14ac:dyDescent="0.35">
      <c r="A193" s="135"/>
    </row>
    <row r="194" spans="1:1" ht="15.75" customHeight="1" x14ac:dyDescent="0.35">
      <c r="A194" s="135"/>
    </row>
    <row r="195" spans="1:1" ht="15.75" customHeight="1" x14ac:dyDescent="0.35">
      <c r="A195" s="135"/>
    </row>
    <row r="196" spans="1:1" ht="15.75" customHeight="1" x14ac:dyDescent="0.35">
      <c r="A196" s="135"/>
    </row>
    <row r="197" spans="1:1" ht="15.75" customHeight="1" x14ac:dyDescent="0.35">
      <c r="A197" s="135"/>
    </row>
    <row r="198" spans="1:1" ht="15.75" customHeight="1" x14ac:dyDescent="0.35">
      <c r="A198" s="135"/>
    </row>
    <row r="199" spans="1:1" ht="15.75" customHeight="1" x14ac:dyDescent="0.35">
      <c r="A199" s="135"/>
    </row>
    <row r="200" spans="1:1" ht="15.75" customHeight="1" x14ac:dyDescent="0.35">
      <c r="A200" s="135"/>
    </row>
    <row r="201" spans="1:1" ht="15.75" customHeight="1" x14ac:dyDescent="0.35">
      <c r="A201" s="135"/>
    </row>
    <row r="202" spans="1:1" ht="15.75" customHeight="1" x14ac:dyDescent="0.35">
      <c r="A202" s="135"/>
    </row>
    <row r="203" spans="1:1" ht="15.75" customHeight="1" x14ac:dyDescent="0.35">
      <c r="A203" s="135"/>
    </row>
    <row r="204" spans="1:1" ht="15.75" customHeight="1" x14ac:dyDescent="0.35">
      <c r="A204" s="135"/>
    </row>
    <row r="205" spans="1:1" ht="15.75" customHeight="1" x14ac:dyDescent="0.35">
      <c r="A205" s="135"/>
    </row>
    <row r="206" spans="1:1" ht="15.75" customHeight="1" x14ac:dyDescent="0.35">
      <c r="A206" s="135"/>
    </row>
    <row r="207" spans="1:1" ht="15.75" customHeight="1" x14ac:dyDescent="0.35">
      <c r="A207" s="135"/>
    </row>
    <row r="208" spans="1:1" ht="15.75" customHeight="1" x14ac:dyDescent="0.35">
      <c r="A208" s="135"/>
    </row>
    <row r="209" spans="1:1" ht="15.75" customHeight="1" x14ac:dyDescent="0.35">
      <c r="A209" s="135"/>
    </row>
    <row r="210" spans="1:1" ht="15.75" customHeight="1" x14ac:dyDescent="0.35">
      <c r="A210" s="135"/>
    </row>
    <row r="211" spans="1:1" ht="15.75" customHeight="1" x14ac:dyDescent="0.35">
      <c r="A211" s="135"/>
    </row>
    <row r="212" spans="1:1" ht="15.75" customHeight="1" x14ac:dyDescent="0.35">
      <c r="A212" s="135"/>
    </row>
    <row r="213" spans="1:1" ht="15.75" customHeight="1" x14ac:dyDescent="0.35">
      <c r="A213" s="135"/>
    </row>
    <row r="214" spans="1:1" ht="15.75" customHeight="1" x14ac:dyDescent="0.35">
      <c r="A214" s="135"/>
    </row>
    <row r="215" spans="1:1" ht="15.75" customHeight="1" x14ac:dyDescent="0.35">
      <c r="A215" s="135"/>
    </row>
    <row r="216" spans="1:1" ht="15.75" customHeight="1" x14ac:dyDescent="0.35">
      <c r="A216" s="135"/>
    </row>
    <row r="217" spans="1:1" ht="15.75" customHeight="1" x14ac:dyDescent="0.35">
      <c r="A217" s="135"/>
    </row>
    <row r="218" spans="1:1" ht="15.75" customHeight="1" x14ac:dyDescent="0.35">
      <c r="A218" s="135"/>
    </row>
    <row r="219" spans="1:1" ht="15.75" customHeight="1" x14ac:dyDescent="0.35">
      <c r="A219" s="135"/>
    </row>
    <row r="220" spans="1:1" ht="15.75" customHeight="1" x14ac:dyDescent="0.35">
      <c r="A220" s="135"/>
    </row>
    <row r="221" spans="1:1" ht="15.75" customHeight="1" x14ac:dyDescent="0.35">
      <c r="A221" s="135"/>
    </row>
    <row r="222" spans="1:1" ht="15.75" customHeight="1" x14ac:dyDescent="0.35">
      <c r="A222" s="135"/>
    </row>
    <row r="223" spans="1:1" ht="15.75" customHeight="1" x14ac:dyDescent="0.35">
      <c r="A223" s="135"/>
    </row>
    <row r="224" spans="1:1" ht="15.75" customHeight="1" x14ac:dyDescent="0.35">
      <c r="A224" s="135"/>
    </row>
    <row r="225" spans="1:1" ht="15.75" customHeight="1" x14ac:dyDescent="0.35">
      <c r="A225" s="135"/>
    </row>
    <row r="226" spans="1:1" ht="15.75" customHeight="1" x14ac:dyDescent="0.35">
      <c r="A226" s="135"/>
    </row>
    <row r="227" spans="1:1" ht="15.75" customHeight="1" x14ac:dyDescent="0.35">
      <c r="A227" s="135"/>
    </row>
    <row r="228" spans="1:1" ht="15.75" customHeight="1" x14ac:dyDescent="0.35">
      <c r="A228" s="135"/>
    </row>
    <row r="229" spans="1:1" ht="15.75" customHeight="1" x14ac:dyDescent="0.35">
      <c r="A229" s="135"/>
    </row>
    <row r="230" spans="1:1" ht="15.75" customHeight="1" x14ac:dyDescent="0.35">
      <c r="A230" s="135"/>
    </row>
    <row r="231" spans="1:1" ht="15.75" customHeight="1" x14ac:dyDescent="0.35">
      <c r="A231" s="135"/>
    </row>
    <row r="232" spans="1:1" ht="15.75" customHeight="1" x14ac:dyDescent="0.35">
      <c r="A232" s="135"/>
    </row>
    <row r="233" spans="1:1" ht="15.75" customHeight="1" x14ac:dyDescent="0.35">
      <c r="A233" s="135"/>
    </row>
    <row r="234" spans="1:1" ht="15.75" customHeight="1" x14ac:dyDescent="0.35">
      <c r="A234" s="135"/>
    </row>
    <row r="235" spans="1:1" ht="15.75" customHeight="1" x14ac:dyDescent="0.35">
      <c r="A235" s="135"/>
    </row>
    <row r="236" spans="1:1" ht="15.75" customHeight="1" x14ac:dyDescent="0.35">
      <c r="A236" s="135"/>
    </row>
    <row r="237" spans="1:1" ht="15.75" customHeight="1" x14ac:dyDescent="0.35">
      <c r="A237" s="135"/>
    </row>
    <row r="238" spans="1:1" ht="15.75" customHeight="1" x14ac:dyDescent="0.35">
      <c r="A238" s="135"/>
    </row>
    <row r="239" spans="1:1" ht="15.75" customHeight="1" x14ac:dyDescent="0.35">
      <c r="A239" s="135"/>
    </row>
    <row r="240" spans="1:1" ht="15.75" customHeight="1" x14ac:dyDescent="0.35">
      <c r="A240" s="135"/>
    </row>
    <row r="241" spans="1:1" ht="15.75" customHeight="1" x14ac:dyDescent="0.35">
      <c r="A241" s="135"/>
    </row>
    <row r="242" spans="1:1" ht="15.75" customHeight="1" x14ac:dyDescent="0.35">
      <c r="A242" s="135"/>
    </row>
    <row r="243" spans="1:1" ht="15.75" customHeight="1" x14ac:dyDescent="0.35">
      <c r="A243" s="135"/>
    </row>
    <row r="244" spans="1:1" ht="15.75" customHeight="1" x14ac:dyDescent="0.35">
      <c r="A244" s="135"/>
    </row>
    <row r="245" spans="1:1" ht="15.75" customHeight="1" x14ac:dyDescent="0.35">
      <c r="A245" s="135"/>
    </row>
    <row r="246" spans="1:1" ht="15.75" customHeight="1" x14ac:dyDescent="0.35">
      <c r="A246" s="135"/>
    </row>
    <row r="247" spans="1:1" ht="15.75" customHeight="1" x14ac:dyDescent="0.35">
      <c r="A247" s="135"/>
    </row>
    <row r="248" spans="1:1" ht="15.75" customHeight="1" x14ac:dyDescent="0.35">
      <c r="A248" s="135"/>
    </row>
    <row r="249" spans="1:1" ht="15.75" customHeight="1" x14ac:dyDescent="0.35">
      <c r="A249" s="135"/>
    </row>
    <row r="250" spans="1:1" ht="15.75" customHeight="1" x14ac:dyDescent="0.35"/>
    <row r="251" spans="1:1" ht="15.75" customHeight="1" x14ac:dyDescent="0.35"/>
    <row r="252" spans="1:1" ht="15.75" customHeight="1" x14ac:dyDescent="0.35"/>
    <row r="253" spans="1:1" ht="15.75" customHeight="1" x14ac:dyDescent="0.35"/>
    <row r="254" spans="1:1" ht="15.75" customHeight="1" x14ac:dyDescent="0.35"/>
    <row r="255" spans="1:1" ht="15.75" customHeight="1" x14ac:dyDescent="0.35"/>
    <row r="256" spans="1:1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</sheetData>
  <phoneticPr fontId="3" type="noConversion"/>
  <conditionalFormatting sqref="C6:M25">
    <cfRule type="containsBlanks" dxfId="11" priority="1">
      <formula>LEN(TRIM(C6))=0</formula>
    </cfRule>
  </conditionalFormatting>
  <conditionalFormatting sqref="C27:M27">
    <cfRule type="containsBlanks" dxfId="10" priority="6">
      <formula>LEN(TRIM(C27))=0</formula>
    </cfRule>
  </conditionalFormatting>
  <conditionalFormatting sqref="C29:M40">
    <cfRule type="containsBlanks" dxfId="9" priority="3">
      <formula>LEN(TRIM(C29))=0</formula>
    </cfRule>
  </conditionalFormatting>
  <conditionalFormatting sqref="D26:M27">
    <cfRule type="containsBlanks" dxfId="8" priority="5">
      <formula>LEN(TRIM(D26))=0</formula>
    </cfRule>
  </conditionalFormatting>
  <conditionalFormatting sqref="F4">
    <cfRule type="containsBlanks" dxfId="7" priority="4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B6D7A8"/>
    <outlinePr summaryBelow="0" summaryRight="0"/>
    <pageSetUpPr fitToPage="1"/>
  </sheetPr>
  <dimension ref="A2:K108"/>
  <sheetViews>
    <sheetView showGridLines="0" topLeftCell="A73" zoomScaleNormal="100" workbookViewId="0">
      <selection activeCell="D100" sqref="D100:I100"/>
    </sheetView>
  </sheetViews>
  <sheetFormatPr defaultColWidth="12.33203125" defaultRowHeight="15" customHeight="1" x14ac:dyDescent="0.35"/>
  <cols>
    <col min="1" max="1" width="2.33203125" style="2" customWidth="1"/>
    <col min="2" max="2" width="28.6640625" style="2" customWidth="1"/>
    <col min="3" max="6" width="18.6640625" style="2" customWidth="1"/>
    <col min="7" max="7" width="2" style="2" customWidth="1"/>
    <col min="8" max="9" width="18.6640625" style="2" customWidth="1"/>
    <col min="10" max="10" width="4.6640625" style="2" customWidth="1"/>
    <col min="11" max="11" width="38.796875" style="2" customWidth="1"/>
    <col min="12" max="16384" width="12.33203125" style="2"/>
  </cols>
  <sheetData>
    <row r="2" spans="1:11" ht="15" customHeight="1" x14ac:dyDescent="0.35">
      <c r="A2" s="157"/>
      <c r="B2" s="158" t="s">
        <v>262</v>
      </c>
      <c r="C2" s="158"/>
      <c r="D2" s="159"/>
      <c r="E2" s="3"/>
      <c r="F2" s="7"/>
      <c r="G2" s="7"/>
      <c r="H2" s="7"/>
      <c r="I2" s="3"/>
      <c r="K2" s="160" t="s">
        <v>8</v>
      </c>
    </row>
    <row r="3" spans="1:11" ht="15" customHeight="1" x14ac:dyDescent="0.35">
      <c r="B3" s="9" t="s">
        <v>20</v>
      </c>
      <c r="C3" s="3"/>
      <c r="D3" s="161">
        <f>Inputs!C41</f>
        <v>12863898</v>
      </c>
      <c r="E3" s="162" t="str">
        <f>IF((C49-I49)=D3,"", "Error!")</f>
        <v/>
      </c>
      <c r="F3" s="3"/>
      <c r="G3" s="3"/>
      <c r="H3" s="163" t="s">
        <v>21</v>
      </c>
      <c r="I3" s="164">
        <f>D3-D4</f>
        <v>12890860</v>
      </c>
      <c r="K3" s="75"/>
    </row>
    <row r="4" spans="1:11" ht="15" customHeight="1" x14ac:dyDescent="0.35">
      <c r="B4" s="9" t="s">
        <v>22</v>
      </c>
      <c r="C4" s="3"/>
      <c r="D4" s="144">
        <f>Inputs!C42</f>
        <v>-26962</v>
      </c>
      <c r="E4" s="165"/>
      <c r="F4" s="3"/>
      <c r="G4" s="3"/>
      <c r="H4" s="166"/>
      <c r="I4" s="149"/>
      <c r="K4" s="75"/>
    </row>
    <row r="5" spans="1:11" ht="15" customHeight="1" x14ac:dyDescent="0.35">
      <c r="C5" s="3"/>
      <c r="D5" s="3"/>
      <c r="E5" s="167" t="s">
        <v>23</v>
      </c>
      <c r="H5" s="2" t="s">
        <v>24</v>
      </c>
      <c r="I5" s="168">
        <f>C28/I28</f>
        <v>3.5066755118062995</v>
      </c>
      <c r="K5" s="75"/>
    </row>
    <row r="6" spans="1:11" ht="15" customHeight="1" thickBot="1" x14ac:dyDescent="0.4">
      <c r="B6" s="56" t="str">
        <f>"Adj. Net Asset in "&amp;Dashboard!G6</f>
        <v>Adj. Net Asset in HKD</v>
      </c>
      <c r="C6" s="3"/>
      <c r="D6" s="169">
        <f>(E49-I49-E53)</f>
        <v>3511699.0500000007</v>
      </c>
      <c r="E6" s="170">
        <f>1-D6/D3</f>
        <v>0.72701127994018599</v>
      </c>
      <c r="F6" s="3"/>
      <c r="G6" s="3"/>
      <c r="H6" s="2" t="s">
        <v>25</v>
      </c>
      <c r="I6" s="168">
        <f>(C24+C25)/I28</f>
        <v>0.74800394334750619</v>
      </c>
      <c r="J6" s="3"/>
      <c r="K6" s="75"/>
    </row>
    <row r="7" spans="1:11" ht="15" customHeight="1" thickTop="1" x14ac:dyDescent="0.35">
      <c r="B7" s="57" t="str">
        <f>"Adj. Net Asset per Shares in "&amp;Dashboard!H3</f>
        <v>Adj. Net Asset per Shares in HKD</v>
      </c>
      <c r="C7" s="3"/>
      <c r="D7" s="171">
        <f>MAX((D6*Exchange_Rate*Data!C4)/Common_Shares, 0)</f>
        <v>5.9813525743183318</v>
      </c>
      <c r="E7" s="167" t="str">
        <f>Dashboard!H3</f>
        <v>HKD</v>
      </c>
      <c r="H7" s="2" t="s">
        <v>26</v>
      </c>
      <c r="I7" s="168">
        <f>C24/I28</f>
        <v>0.64376313868623514</v>
      </c>
      <c r="J7" s="3"/>
      <c r="K7" s="172"/>
    </row>
    <row r="8" spans="1:11" ht="15" customHeight="1" x14ac:dyDescent="0.35">
      <c r="C8" s="3"/>
      <c r="D8" s="3"/>
      <c r="E8" s="3"/>
      <c r="K8" s="75"/>
    </row>
    <row r="9" spans="1:11" ht="15" customHeight="1" x14ac:dyDescent="0.35">
      <c r="A9" s="157"/>
      <c r="B9" s="173" t="s">
        <v>27</v>
      </c>
      <c r="C9" s="8"/>
      <c r="D9" s="174">
        <f>Inputs!C14</f>
        <v>45382</v>
      </c>
      <c r="E9" s="133" t="str">
        <f>IF(MONTH(D9)=MONTH(Data!C3),"FY","Quarter")</f>
        <v>FY</v>
      </c>
      <c r="F9" s="8"/>
      <c r="G9" s="8"/>
      <c r="H9" s="8"/>
      <c r="I9" s="8"/>
      <c r="K9" s="75"/>
    </row>
    <row r="10" spans="1:11" ht="15" customHeight="1" x14ac:dyDescent="0.35">
      <c r="B10" s="83" t="s">
        <v>261</v>
      </c>
      <c r="C10" s="80" t="s">
        <v>28</v>
      </c>
      <c r="D10" s="80" t="s">
        <v>170</v>
      </c>
      <c r="E10" s="80" t="s">
        <v>29</v>
      </c>
      <c r="F10" s="85" t="s">
        <v>30</v>
      </c>
      <c r="G10" s="3"/>
      <c r="H10" s="83" t="s">
        <v>274</v>
      </c>
      <c r="I10" s="80" t="s">
        <v>28</v>
      </c>
      <c r="K10" s="75"/>
    </row>
    <row r="11" spans="1:11" ht="15" customHeight="1" x14ac:dyDescent="0.35">
      <c r="B11" s="9" t="s">
        <v>31</v>
      </c>
      <c r="C11" s="175">
        <f>Inputs!C48</f>
        <v>1998219</v>
      </c>
      <c r="D11" s="258">
        <f>Inputs!D48</f>
        <v>0.9</v>
      </c>
      <c r="E11" s="176">
        <f t="shared" ref="E11:E22" si="0">C11*D11</f>
        <v>1798397.1</v>
      </c>
      <c r="F11" s="260"/>
      <c r="G11" s="3"/>
      <c r="H11" s="9" t="s">
        <v>32</v>
      </c>
      <c r="I11" s="175">
        <f>Inputs!C73</f>
        <v>1427805</v>
      </c>
      <c r="J11" s="3"/>
      <c r="K11" s="75"/>
    </row>
    <row r="12" spans="1:11" ht="11.65" x14ac:dyDescent="0.35">
      <c r="B12" s="2" t="s">
        <v>124</v>
      </c>
      <c r="C12" s="175">
        <f>Inputs!C49</f>
        <v>0</v>
      </c>
      <c r="D12" s="258">
        <f>Inputs!D49</f>
        <v>0.8</v>
      </c>
      <c r="E12" s="176">
        <f t="shared" si="0"/>
        <v>0</v>
      </c>
      <c r="F12" s="260"/>
      <c r="G12" s="3"/>
      <c r="H12" s="9" t="s">
        <v>33</v>
      </c>
      <c r="I12" s="175">
        <f>Inputs!C74</f>
        <v>287697</v>
      </c>
      <c r="J12" s="3"/>
      <c r="K12" s="75"/>
    </row>
    <row r="13" spans="1:11" ht="11.65" x14ac:dyDescent="0.35">
      <c r="B13" s="9" t="s">
        <v>106</v>
      </c>
      <c r="C13" s="175">
        <f>Inputs!C50</f>
        <v>265773</v>
      </c>
      <c r="D13" s="258">
        <f>Inputs!D50</f>
        <v>0.6</v>
      </c>
      <c r="E13" s="176">
        <f t="shared" si="0"/>
        <v>159463.79999999999</v>
      </c>
      <c r="F13" s="260"/>
      <c r="G13" s="3"/>
      <c r="H13" s="9" t="s">
        <v>34</v>
      </c>
      <c r="I13" s="175">
        <f>Inputs!C75</f>
        <v>0</v>
      </c>
      <c r="J13" s="3"/>
      <c r="K13" s="177"/>
    </row>
    <row r="14" spans="1:11" ht="11.65" x14ac:dyDescent="0.35">
      <c r="B14" s="9" t="s">
        <v>35</v>
      </c>
      <c r="C14" s="175">
        <f>Inputs!C51</f>
        <v>0</v>
      </c>
      <c r="D14" s="258">
        <f>Inputs!D51</f>
        <v>0.6</v>
      </c>
      <c r="E14" s="176">
        <f t="shared" si="0"/>
        <v>0</v>
      </c>
      <c r="F14" s="260"/>
      <c r="G14" s="3"/>
      <c r="H14" s="8" t="s">
        <v>36</v>
      </c>
      <c r="I14" s="178">
        <f>Inputs!C76</f>
        <v>0</v>
      </c>
      <c r="J14" s="3"/>
      <c r="K14" s="179"/>
    </row>
    <row r="15" spans="1:11" ht="11.65" x14ac:dyDescent="0.35">
      <c r="B15" s="9" t="s">
        <v>37</v>
      </c>
      <c r="C15" s="175">
        <f>Inputs!C52</f>
        <v>0</v>
      </c>
      <c r="D15" s="258">
        <f>Inputs!D52</f>
        <v>0.5</v>
      </c>
      <c r="E15" s="176">
        <f t="shared" si="0"/>
        <v>0</v>
      </c>
      <c r="F15" s="260"/>
      <c r="G15" s="3"/>
      <c r="H15" s="2" t="s">
        <v>47</v>
      </c>
      <c r="I15" s="180">
        <f>SUM(I11:I14)</f>
        <v>1715502</v>
      </c>
      <c r="J15" s="3"/>
    </row>
    <row r="16" spans="1:11" ht="11.65" x14ac:dyDescent="0.35">
      <c r="B16" s="2" t="s">
        <v>142</v>
      </c>
      <c r="C16" s="175">
        <f>Inputs!C53</f>
        <v>0</v>
      </c>
      <c r="D16" s="258">
        <f>Inputs!D53</f>
        <v>0.6</v>
      </c>
      <c r="E16" s="176">
        <f t="shared" si="0"/>
        <v>0</v>
      </c>
      <c r="F16" s="260"/>
      <c r="G16" s="181"/>
      <c r="H16" s="9"/>
      <c r="I16" s="175"/>
      <c r="J16" s="3"/>
    </row>
    <row r="17" spans="2:10" ht="11.65" x14ac:dyDescent="0.35">
      <c r="B17" s="9" t="s">
        <v>107</v>
      </c>
      <c r="C17" s="175">
        <f>Inputs!C54</f>
        <v>366595</v>
      </c>
      <c r="D17" s="258">
        <f>Inputs!D54</f>
        <v>0.1</v>
      </c>
      <c r="E17" s="176">
        <f t="shared" si="0"/>
        <v>36659.5</v>
      </c>
      <c r="F17" s="260"/>
      <c r="G17" s="3"/>
      <c r="H17" s="9"/>
      <c r="I17" s="175"/>
      <c r="J17" s="3"/>
    </row>
    <row r="18" spans="2:10" ht="11.65" x14ac:dyDescent="0.35">
      <c r="B18" s="9" t="s">
        <v>40</v>
      </c>
      <c r="C18" s="175">
        <f>Inputs!C55</f>
        <v>9672256</v>
      </c>
      <c r="D18" s="258">
        <f>Inputs!D55</f>
        <v>0.5</v>
      </c>
      <c r="E18" s="176">
        <f t="shared" si="0"/>
        <v>4836128</v>
      </c>
      <c r="F18" s="260"/>
      <c r="G18" s="3"/>
      <c r="H18" s="3"/>
      <c r="I18" s="3"/>
    </row>
    <row r="19" spans="2:10" ht="11.65" x14ac:dyDescent="0.35">
      <c r="B19" s="2" t="s">
        <v>41</v>
      </c>
      <c r="C19" s="175">
        <f>Inputs!C56</f>
        <v>0</v>
      </c>
      <c r="D19" s="258">
        <f>Inputs!D56</f>
        <v>0.6</v>
      </c>
      <c r="E19" s="176">
        <f t="shared" si="0"/>
        <v>0</v>
      </c>
      <c r="F19" s="260" t="str">
        <f>Inputs!E56</f>
        <v>N</v>
      </c>
      <c r="G19" s="181">
        <f>IF(F19="Y",0,1)</f>
        <v>1</v>
      </c>
    </row>
    <row r="20" spans="2:10" ht="11.65" x14ac:dyDescent="0.35">
      <c r="B20" s="9" t="s">
        <v>109</v>
      </c>
      <c r="C20" s="175">
        <f>Inputs!C57</f>
        <v>0</v>
      </c>
      <c r="D20" s="258">
        <f>Inputs!D57</f>
        <v>0.6</v>
      </c>
      <c r="E20" s="176">
        <f t="shared" si="0"/>
        <v>0</v>
      </c>
      <c r="F20" s="260" t="str">
        <f>Inputs!E57</f>
        <v>Y</v>
      </c>
      <c r="G20" s="181">
        <f>IF(F20="Y",0,1)</f>
        <v>0</v>
      </c>
      <c r="H20" s="9"/>
      <c r="I20" s="175"/>
    </row>
    <row r="21" spans="2:10" ht="11.65" x14ac:dyDescent="0.35">
      <c r="B21" s="9" t="s">
        <v>43</v>
      </c>
      <c r="C21" s="175">
        <f>Inputs!C58</f>
        <v>29465</v>
      </c>
      <c r="D21" s="258">
        <f>Inputs!D58</f>
        <v>0.9</v>
      </c>
      <c r="E21" s="176">
        <f t="shared" si="0"/>
        <v>26518.5</v>
      </c>
      <c r="F21" s="260"/>
      <c r="G21" s="3"/>
      <c r="H21" s="9"/>
      <c r="I21" s="175"/>
    </row>
    <row r="22" spans="2:10" ht="15" customHeight="1" x14ac:dyDescent="0.35">
      <c r="B22" s="9" t="s">
        <v>44</v>
      </c>
      <c r="C22" s="175">
        <f>Inputs!C59</f>
        <v>0</v>
      </c>
      <c r="D22" s="258">
        <f>Inputs!D59</f>
        <v>0.05</v>
      </c>
      <c r="E22" s="176">
        <f t="shared" si="0"/>
        <v>0</v>
      </c>
      <c r="F22" s="260"/>
      <c r="G22" s="3"/>
      <c r="H22" s="9" t="s">
        <v>38</v>
      </c>
      <c r="I22" s="182">
        <f>I28-SUM(I11:I14)</f>
        <v>1801307</v>
      </c>
    </row>
    <row r="23" spans="2:10" ht="15" customHeight="1" x14ac:dyDescent="0.35">
      <c r="C23" s="3"/>
      <c r="D23" s="3"/>
      <c r="E23" s="3"/>
      <c r="F23" s="85" t="s">
        <v>45</v>
      </c>
      <c r="G23" s="3"/>
    </row>
    <row r="24" spans="2:10" ht="15" customHeight="1" x14ac:dyDescent="0.35">
      <c r="B24" s="183" t="s">
        <v>46</v>
      </c>
      <c r="C24" s="184">
        <f>SUM(C11:C14)</f>
        <v>2263992</v>
      </c>
      <c r="D24" s="185">
        <f>IF(E24=0,0,E24/C24)</f>
        <v>0.86478260523888784</v>
      </c>
      <c r="E24" s="176">
        <f>SUM(E11:E14)</f>
        <v>1957860.9000000001</v>
      </c>
      <c r="F24" s="186">
        <f>E24/$E$28</f>
        <v>0.28552038014416714</v>
      </c>
      <c r="G24" s="3"/>
    </row>
    <row r="25" spans="2:10" ht="15" customHeight="1" x14ac:dyDescent="0.35">
      <c r="B25" s="183" t="s">
        <v>48</v>
      </c>
      <c r="C25" s="184">
        <f>SUM(C15:C17)</f>
        <v>366595</v>
      </c>
      <c r="D25" s="185">
        <f>IF(E25=0,0,E25/C25)</f>
        <v>0.1</v>
      </c>
      <c r="E25" s="176">
        <f>SUM(E15:E17)</f>
        <v>36659.5</v>
      </c>
      <c r="F25" s="186">
        <f>E25/$E$28</f>
        <v>5.3461583383656594E-3</v>
      </c>
      <c r="G25" s="3"/>
      <c r="H25" s="183" t="s">
        <v>49</v>
      </c>
      <c r="I25" s="168">
        <f>E28/I28</f>
        <v>1.9498263624780305</v>
      </c>
    </row>
    <row r="26" spans="2:10" ht="15" customHeight="1" x14ac:dyDescent="0.35">
      <c r="B26" s="183" t="s">
        <v>50</v>
      </c>
      <c r="C26" s="184">
        <f>C18+C19+C20</f>
        <v>9672256</v>
      </c>
      <c r="D26" s="185">
        <f>IF(E26=0,0,E26/C26)</f>
        <v>0.5</v>
      </c>
      <c r="E26" s="176">
        <f>E18+E19+E20</f>
        <v>4836128</v>
      </c>
      <c r="F26" s="186">
        <f>E26/$E$28</f>
        <v>0.70526619382707456</v>
      </c>
      <c r="G26" s="3"/>
      <c r="H26" s="183" t="s">
        <v>51</v>
      </c>
      <c r="I26" s="168">
        <f>E24/($I$28-I22)</f>
        <v>1.1412757898271177</v>
      </c>
      <c r="J26" s="187" t="str">
        <f>IF(I26&lt;1,"Liquidity Problem!","")</f>
        <v/>
      </c>
    </row>
    <row r="27" spans="2:10" ht="15" customHeight="1" x14ac:dyDescent="0.35">
      <c r="B27" s="183" t="s">
        <v>52</v>
      </c>
      <c r="C27" s="97">
        <f>C21+C22</f>
        <v>29465</v>
      </c>
      <c r="D27" s="185">
        <f>IF(E27=0,0,E27/C27)</f>
        <v>0.9</v>
      </c>
      <c r="E27" s="176">
        <f>E21+E22</f>
        <v>26518.5</v>
      </c>
      <c r="F27" s="186">
        <f>E27/$E$28</f>
        <v>3.8672676903926603E-3</v>
      </c>
      <c r="G27" s="3"/>
      <c r="H27" s="183" t="s">
        <v>53</v>
      </c>
      <c r="I27" s="168">
        <f>(E25+E24)/$I$28</f>
        <v>0.56713924469597299</v>
      </c>
      <c r="J27" s="187" t="str">
        <f>IF(OR(I27&lt;0.75,C28&lt;I28),"Liquidity Issue!","")</f>
        <v>Liquidity Issue!</v>
      </c>
    </row>
    <row r="28" spans="2:10" ht="15" customHeight="1" x14ac:dyDescent="0.35">
      <c r="B28" s="188" t="s">
        <v>15</v>
      </c>
      <c r="C28" s="189">
        <f>SUM(C11:C22)</f>
        <v>12332308</v>
      </c>
      <c r="D28" s="190">
        <f>E28/C28</f>
        <v>0.55603273126165842</v>
      </c>
      <c r="E28" s="191">
        <f>SUM(E24:E27)</f>
        <v>6857166.9000000004</v>
      </c>
      <c r="F28" s="87"/>
      <c r="G28" s="3"/>
      <c r="H28" s="188" t="s">
        <v>16</v>
      </c>
      <c r="I28" s="161">
        <f>Inputs!C77</f>
        <v>3516809</v>
      </c>
      <c r="J28" s="192">
        <f>IF(J26="",1,0)+IF(J27="",1,0)+IF(J46="",1,0)+IF(J47="",1,0)</f>
        <v>2</v>
      </c>
    </row>
    <row r="29" spans="2:10" ht="15" customHeight="1" x14ac:dyDescent="0.35">
      <c r="C29" s="3"/>
      <c r="D29" s="3"/>
      <c r="E29" s="3"/>
      <c r="F29" s="87" t="s">
        <v>30</v>
      </c>
      <c r="G29" s="3"/>
      <c r="H29" s="3"/>
      <c r="I29" s="3"/>
      <c r="J29" s="3"/>
    </row>
    <row r="30" spans="2:10" ht="15" customHeight="1" x14ac:dyDescent="0.35">
      <c r="B30" s="9" t="s">
        <v>54</v>
      </c>
      <c r="C30" s="175">
        <f>Inputs!C60</f>
        <v>0</v>
      </c>
      <c r="D30" s="258">
        <f>Inputs!D60</f>
        <v>0.8</v>
      </c>
      <c r="E30" s="176">
        <v>0</v>
      </c>
      <c r="F30" s="260"/>
      <c r="G30" s="3"/>
      <c r="H30" s="9" t="s">
        <v>55</v>
      </c>
      <c r="I30" s="175">
        <f>Inputs!C78</f>
        <v>0</v>
      </c>
      <c r="J30" s="3"/>
    </row>
    <row r="31" spans="2:10" ht="15" customHeight="1" x14ac:dyDescent="0.35">
      <c r="B31" s="9" t="s">
        <v>56</v>
      </c>
      <c r="C31" s="175">
        <f>Inputs!C61</f>
        <v>0</v>
      </c>
      <c r="D31" s="258">
        <f>Inputs!D61</f>
        <v>0.6</v>
      </c>
      <c r="E31" s="176">
        <f t="shared" ref="E31:E42" si="1">C31*D31</f>
        <v>0</v>
      </c>
      <c r="F31" s="260"/>
      <c r="G31" s="3"/>
      <c r="H31" s="9" t="s">
        <v>57</v>
      </c>
      <c r="I31" s="175">
        <f>Inputs!C79</f>
        <v>319420</v>
      </c>
      <c r="J31" s="3"/>
    </row>
    <row r="32" spans="2:10" ht="15" customHeight="1" x14ac:dyDescent="0.35">
      <c r="B32" s="9" t="s">
        <v>58</v>
      </c>
      <c r="C32" s="175">
        <f>Inputs!C62</f>
        <v>0</v>
      </c>
      <c r="D32" s="258">
        <f>Inputs!D62</f>
        <v>0.5</v>
      </c>
      <c r="E32" s="176">
        <f t="shared" si="1"/>
        <v>0</v>
      </c>
      <c r="F32" s="260"/>
      <c r="G32" s="3"/>
      <c r="H32" s="9" t="s">
        <v>59</v>
      </c>
      <c r="I32" s="175">
        <f>Inputs!C80</f>
        <v>0</v>
      </c>
      <c r="J32" s="3"/>
    </row>
    <row r="33" spans="2:10" ht="11.65" x14ac:dyDescent="0.35">
      <c r="B33" s="2" t="s">
        <v>143</v>
      </c>
      <c r="C33" s="175">
        <f>Inputs!C63</f>
        <v>0</v>
      </c>
      <c r="D33" s="258">
        <f>Inputs!D63</f>
        <v>0.5</v>
      </c>
      <c r="E33" s="176">
        <f t="shared" si="1"/>
        <v>0</v>
      </c>
      <c r="F33" s="260"/>
      <c r="G33" s="181">
        <f>IF(F33="Y",0,1)</f>
        <v>1</v>
      </c>
      <c r="H33" s="8" t="s">
        <v>60</v>
      </c>
      <c r="I33" s="178">
        <f>Inputs!C81</f>
        <v>0</v>
      </c>
      <c r="J33" s="3"/>
    </row>
    <row r="34" spans="2:10" ht="11.65" x14ac:dyDescent="0.35">
      <c r="B34" s="9" t="s">
        <v>61</v>
      </c>
      <c r="C34" s="175">
        <f>Inputs!C64</f>
        <v>103050</v>
      </c>
      <c r="D34" s="258">
        <f>Inputs!D64</f>
        <v>0.4</v>
      </c>
      <c r="E34" s="176">
        <f t="shared" si="1"/>
        <v>41220</v>
      </c>
      <c r="F34" s="260"/>
      <c r="G34" s="3"/>
      <c r="H34" s="2" t="s">
        <v>71</v>
      </c>
      <c r="I34" s="180">
        <f>SUM(I30:I33)</f>
        <v>319420</v>
      </c>
      <c r="J34" s="3"/>
    </row>
    <row r="35" spans="2:10" ht="11.65" x14ac:dyDescent="0.35">
      <c r="B35" s="9" t="s">
        <v>63</v>
      </c>
      <c r="C35" s="175">
        <f>Inputs!C65</f>
        <v>0</v>
      </c>
      <c r="D35" s="258">
        <f>Inputs!D65</f>
        <v>0.1</v>
      </c>
      <c r="E35" s="176">
        <f t="shared" si="1"/>
        <v>0</v>
      </c>
      <c r="F35" s="260" t="str">
        <f>Inputs!E65</f>
        <v>N</v>
      </c>
      <c r="G35" s="181">
        <f>IF(F35="Y",0,1)</f>
        <v>1</v>
      </c>
      <c r="J35" s="3"/>
    </row>
    <row r="36" spans="2:10" ht="11.65" x14ac:dyDescent="0.35">
      <c r="B36" s="9" t="s">
        <v>65</v>
      </c>
      <c r="C36" s="175">
        <f>Inputs!C66</f>
        <v>925726</v>
      </c>
      <c r="D36" s="258">
        <f>Inputs!D66</f>
        <v>0.2</v>
      </c>
      <c r="E36" s="176">
        <f t="shared" si="1"/>
        <v>185145.2</v>
      </c>
      <c r="F36" s="260" t="str">
        <f>Inputs!E66</f>
        <v>N</v>
      </c>
      <c r="G36" s="181">
        <f>IF(F36="Y",0,1)</f>
        <v>1</v>
      </c>
      <c r="H36" s="3"/>
      <c r="I36" s="3"/>
    </row>
    <row r="37" spans="2:10" ht="11.65" x14ac:dyDescent="0.35">
      <c r="B37" s="2" t="s">
        <v>42</v>
      </c>
      <c r="C37" s="175">
        <f>Inputs!C67</f>
        <v>0</v>
      </c>
      <c r="D37" s="258">
        <f>Inputs!D67</f>
        <v>0.1</v>
      </c>
      <c r="E37" s="176">
        <f t="shared" si="1"/>
        <v>0</v>
      </c>
      <c r="F37" s="260" t="str">
        <f>Inputs!E67</f>
        <v>Y</v>
      </c>
      <c r="G37" s="181">
        <f>IF(F37="Y",0,1)</f>
        <v>0</v>
      </c>
      <c r="H37" s="3"/>
      <c r="I37" s="3"/>
    </row>
    <row r="38" spans="2:10" ht="15" customHeight="1" x14ac:dyDescent="0.35">
      <c r="B38" s="9" t="s">
        <v>108</v>
      </c>
      <c r="C38" s="175">
        <f>Inputs!C68</f>
        <v>2522337</v>
      </c>
      <c r="D38" s="258">
        <f>Inputs!D68</f>
        <v>0.1</v>
      </c>
      <c r="E38" s="176">
        <f t="shared" si="1"/>
        <v>252233.7</v>
      </c>
      <c r="F38" s="260"/>
      <c r="G38" s="3"/>
      <c r="H38" s="3"/>
      <c r="I38" s="3"/>
    </row>
    <row r="39" spans="2:10" ht="11.65" x14ac:dyDescent="0.35">
      <c r="B39" s="9" t="s">
        <v>66</v>
      </c>
      <c r="C39" s="175">
        <f>Inputs!C69</f>
        <v>0</v>
      </c>
      <c r="D39" s="258">
        <f>Inputs!D69</f>
        <v>0.05</v>
      </c>
      <c r="E39" s="176">
        <f t="shared" si="1"/>
        <v>0</v>
      </c>
      <c r="F39" s="260"/>
      <c r="G39" s="3"/>
      <c r="H39" s="3"/>
      <c r="I39" s="3"/>
    </row>
    <row r="40" spans="2:10" ht="15" customHeight="1" x14ac:dyDescent="0.35">
      <c r="B40" s="9" t="s">
        <v>67</v>
      </c>
      <c r="C40" s="175">
        <f>Inputs!C70</f>
        <v>538321</v>
      </c>
      <c r="D40" s="258">
        <f>Inputs!D70</f>
        <v>0.05</v>
      </c>
      <c r="E40" s="176">
        <f t="shared" si="1"/>
        <v>26916.050000000003</v>
      </c>
      <c r="F40" s="260"/>
      <c r="G40" s="3"/>
      <c r="H40" s="3"/>
      <c r="I40" s="3"/>
    </row>
    <row r="41" spans="2:10" ht="15" customHeight="1" x14ac:dyDescent="0.35">
      <c r="B41" s="9" t="s">
        <v>68</v>
      </c>
      <c r="C41" s="175">
        <f>Inputs!C71</f>
        <v>154648</v>
      </c>
      <c r="D41" s="258">
        <f>Inputs!D71</f>
        <v>0.9</v>
      </c>
      <c r="E41" s="176">
        <f t="shared" si="1"/>
        <v>139183.20000000001</v>
      </c>
      <c r="F41" s="260"/>
      <c r="G41" s="3"/>
      <c r="H41" s="3"/>
      <c r="I41" s="3"/>
    </row>
    <row r="42" spans="2:10" ht="15" customHeight="1" x14ac:dyDescent="0.35">
      <c r="B42" s="9" t="s">
        <v>69</v>
      </c>
      <c r="C42" s="175">
        <f>Inputs!C72</f>
        <v>277674</v>
      </c>
      <c r="D42" s="258">
        <f>Inputs!D72</f>
        <v>0</v>
      </c>
      <c r="E42" s="176">
        <f t="shared" si="1"/>
        <v>0</v>
      </c>
      <c r="F42" s="260"/>
      <c r="G42" s="3"/>
      <c r="H42" s="9" t="s">
        <v>62</v>
      </c>
      <c r="I42" s="182">
        <f>I48-SUM(I30:I33)</f>
        <v>153937</v>
      </c>
    </row>
    <row r="43" spans="2:10" ht="15" customHeight="1" x14ac:dyDescent="0.35">
      <c r="C43" s="3"/>
      <c r="D43" s="3"/>
      <c r="E43" s="3"/>
      <c r="F43" s="3"/>
      <c r="G43" s="3"/>
      <c r="H43" s="3"/>
      <c r="I43" s="3"/>
    </row>
    <row r="44" spans="2:10" ht="15" customHeight="1" x14ac:dyDescent="0.35">
      <c r="B44" s="183" t="s">
        <v>70</v>
      </c>
      <c r="C44" s="184">
        <f>SUM(C30:C31)</f>
        <v>0</v>
      </c>
      <c r="D44" s="185">
        <f>IF(E44=0,0,E44/C44)</f>
        <v>0</v>
      </c>
      <c r="E44" s="176">
        <f>SUM(E30:E31)</f>
        <v>0</v>
      </c>
      <c r="F44" s="193"/>
      <c r="G44" s="3"/>
    </row>
    <row r="45" spans="2:10" ht="15" customHeight="1" x14ac:dyDescent="0.35">
      <c r="B45" s="183" t="s">
        <v>72</v>
      </c>
      <c r="C45" s="184">
        <f>SUM(C32:C35)</f>
        <v>103050</v>
      </c>
      <c r="D45" s="185">
        <f>IF(E45=0,0,E45/C45)</f>
        <v>0.4</v>
      </c>
      <c r="E45" s="176">
        <f>SUM(E32:E35)</f>
        <v>41220</v>
      </c>
      <c r="F45" s="193"/>
      <c r="G45" s="3"/>
    </row>
    <row r="46" spans="2:10" ht="15" customHeight="1" x14ac:dyDescent="0.35">
      <c r="B46" s="183" t="s">
        <v>73</v>
      </c>
      <c r="C46" s="184">
        <f>C36+C37+C38+C39</f>
        <v>3448063</v>
      </c>
      <c r="D46" s="185">
        <f>IF(E46=0,0,E46/C46)</f>
        <v>0.12684771130921912</v>
      </c>
      <c r="E46" s="176">
        <f>E36+E37+E38+E39</f>
        <v>437378.9</v>
      </c>
      <c r="F46" s="3"/>
      <c r="G46" s="3"/>
      <c r="H46" s="183" t="s">
        <v>74</v>
      </c>
      <c r="I46" s="168">
        <f>(E44+E24)/E64</f>
        <v>0.96213068609017949</v>
      </c>
      <c r="J46" s="187" t="str">
        <f>IF(I46&lt;1,"Liquidity Problem!","")</f>
        <v>Liquidity Problem!</v>
      </c>
    </row>
    <row r="47" spans="2:10" ht="15" customHeight="1" x14ac:dyDescent="0.35">
      <c r="B47" s="183" t="s">
        <v>75</v>
      </c>
      <c r="C47" s="184">
        <f>C40+C41+C42</f>
        <v>970643</v>
      </c>
      <c r="D47" s="185">
        <f>IF(E47=0,0,E47/C47)</f>
        <v>0.17112290512577744</v>
      </c>
      <c r="E47" s="176">
        <f>E40+E41+E42</f>
        <v>166099.25</v>
      </c>
      <c r="F47" s="3"/>
      <c r="G47" s="3"/>
      <c r="H47" s="183" t="s">
        <v>76</v>
      </c>
      <c r="I47" s="168">
        <f>(E44+E45+E24+E25)/$I$49</f>
        <v>0.51018940064147711</v>
      </c>
      <c r="J47" s="187" t="str">
        <f>IF(OR(I47&lt;0.5,C49&lt;I49),"Liquidity Issue!","")</f>
        <v/>
      </c>
    </row>
    <row r="48" spans="2:10" ht="15" customHeight="1" thickBot="1" x14ac:dyDescent="0.4">
      <c r="B48" s="91" t="s">
        <v>77</v>
      </c>
      <c r="C48" s="194">
        <f>SUM(C30:C42)</f>
        <v>4521756</v>
      </c>
      <c r="D48" s="195">
        <f>E48/C48</f>
        <v>0.1425769435590952</v>
      </c>
      <c r="E48" s="196">
        <f>SUM(E30:E42)</f>
        <v>644698.15</v>
      </c>
      <c r="F48" s="3"/>
      <c r="G48" s="3"/>
      <c r="H48" s="91" t="s">
        <v>78</v>
      </c>
      <c r="I48" s="197">
        <f>I49-I28</f>
        <v>473357</v>
      </c>
      <c r="J48" s="187"/>
    </row>
    <row r="49" spans="2:11" ht="15" customHeight="1" thickTop="1" x14ac:dyDescent="0.35">
      <c r="B49" s="9" t="s">
        <v>14</v>
      </c>
      <c r="C49" s="184">
        <f>Inputs!C41+Inputs!C37</f>
        <v>16854064</v>
      </c>
      <c r="D49" s="170">
        <f>E49/C49</f>
        <v>0.44510718898421181</v>
      </c>
      <c r="E49" s="176">
        <f>E28+E48</f>
        <v>7501865.0500000007</v>
      </c>
      <c r="F49" s="3"/>
      <c r="G49" s="3"/>
      <c r="H49" s="9" t="s">
        <v>79</v>
      </c>
      <c r="I49" s="175">
        <f>Inputs!C37</f>
        <v>3990166</v>
      </c>
      <c r="J49" s="3"/>
    </row>
    <row r="50" spans="2:11" ht="15" customHeight="1" x14ac:dyDescent="0.35">
      <c r="C50" s="3"/>
      <c r="D50" s="3"/>
      <c r="E50" s="3"/>
      <c r="I50" s="3"/>
    </row>
    <row r="51" spans="2:11" ht="11.65" x14ac:dyDescent="0.35">
      <c r="B51" s="83" t="s">
        <v>260</v>
      </c>
      <c r="C51" s="285"/>
      <c r="D51" s="285"/>
    </row>
    <row r="52" spans="2:11" ht="11.65" x14ac:dyDescent="0.35">
      <c r="B52" s="198" t="s">
        <v>80</v>
      </c>
      <c r="C52" s="3"/>
      <c r="D52" s="80" t="str">
        <f>IF(E53=D4,"BV of the MI","P/B Approach")</f>
        <v>P/B Approach</v>
      </c>
      <c r="E52" s="3"/>
      <c r="F52" s="3"/>
      <c r="G52" s="3"/>
      <c r="I52" s="3"/>
      <c r="K52" s="160" t="s">
        <v>8</v>
      </c>
    </row>
    <row r="53" spans="2:11" ht="11.65" x14ac:dyDescent="0.35">
      <c r="B53" s="9" t="s">
        <v>81</v>
      </c>
      <c r="C53" s="176">
        <f>MAX(D4,0)</f>
        <v>0</v>
      </c>
      <c r="D53" s="34">
        <f>IF(E53=0, 0,E53/C53)</f>
        <v>0</v>
      </c>
      <c r="E53" s="176">
        <f>IF(C53=0,0,MAX(C53,C53*Dashboard!G23))</f>
        <v>0</v>
      </c>
      <c r="F53" s="3"/>
      <c r="G53" s="3"/>
      <c r="I53" s="199"/>
      <c r="K53" s="172"/>
    </row>
    <row r="54" spans="2:11" ht="15" customHeight="1" x14ac:dyDescent="0.35">
      <c r="C54" s="3"/>
      <c r="D54" s="3"/>
      <c r="E54" s="3"/>
      <c r="F54" s="3"/>
      <c r="G54" s="3"/>
      <c r="I54" s="3"/>
      <c r="K54" s="172"/>
    </row>
    <row r="55" spans="2:11" ht="11.65" x14ac:dyDescent="0.35">
      <c r="B55" s="6" t="s">
        <v>136</v>
      </c>
      <c r="C55" s="9"/>
      <c r="E55" s="15"/>
      <c r="F55" s="9"/>
      <c r="G55" s="9"/>
      <c r="I55" s="3"/>
      <c r="K55" s="172"/>
    </row>
    <row r="56" spans="2:11" ht="11.65" x14ac:dyDescent="0.35">
      <c r="B56" s="56" t="s">
        <v>82</v>
      </c>
      <c r="C56" s="3"/>
      <c r="D56" s="323">
        <f>I15+I34</f>
        <v>2034922</v>
      </c>
      <c r="E56" s="317"/>
      <c r="F56" s="9"/>
      <c r="G56" s="9"/>
      <c r="I56" s="170"/>
      <c r="K56" s="172"/>
    </row>
    <row r="57" spans="2:11" ht="11.65" x14ac:dyDescent="0.35">
      <c r="B57" s="56" t="s">
        <v>83</v>
      </c>
      <c r="C57" s="3"/>
      <c r="D57" s="318">
        <f>Inputs!C84</f>
        <v>0</v>
      </c>
      <c r="E57" s="317"/>
      <c r="G57" s="3"/>
      <c r="I57" s="3"/>
      <c r="K57" s="172" t="s">
        <v>84</v>
      </c>
    </row>
    <row r="58" spans="2:11" ht="12.75" customHeight="1" x14ac:dyDescent="0.35">
      <c r="B58" s="56" t="s">
        <v>85</v>
      </c>
      <c r="C58" s="3"/>
      <c r="D58" s="318">
        <f>Inputs!C85</f>
        <v>0</v>
      </c>
      <c r="E58" s="317"/>
      <c r="F58" s="9"/>
      <c r="G58" s="9"/>
      <c r="I58" s="3"/>
      <c r="K58" s="172"/>
    </row>
    <row r="59" spans="2:11" ht="15" customHeight="1" x14ac:dyDescent="0.35">
      <c r="C59" s="3"/>
      <c r="D59" s="3"/>
      <c r="E59" s="3"/>
      <c r="F59" s="3"/>
      <c r="G59" s="3"/>
      <c r="I59" s="3"/>
      <c r="K59" s="172"/>
    </row>
    <row r="60" spans="2:11" ht="11.65" x14ac:dyDescent="0.35">
      <c r="B60" s="6" t="s">
        <v>139</v>
      </c>
      <c r="C60" s="9"/>
      <c r="D60" s="200" t="s">
        <v>86</v>
      </c>
      <c r="E60" s="3"/>
      <c r="F60" s="201"/>
      <c r="G60" s="201"/>
      <c r="H60" s="83" t="s">
        <v>253</v>
      </c>
      <c r="I60" s="83"/>
      <c r="K60" s="172"/>
    </row>
    <row r="61" spans="2:11" ht="15" customHeight="1" x14ac:dyDescent="0.35">
      <c r="B61" s="57" t="s">
        <v>87</v>
      </c>
      <c r="C61" s="202">
        <f>C14+C15+(C19*G19)+(C20*G20)+C31+C32+(C35*G35)+(C36*G36)+(C37*G37)</f>
        <v>925726</v>
      </c>
      <c r="D61" s="170">
        <f t="shared" ref="D61:D70" si="2">IF(E61=0,0,E61/C61)</f>
        <v>0.2</v>
      </c>
      <c r="E61" s="182">
        <f>E14+E15+(E19*G19)+(E20*G20)+E31+E32+(E35*G35)+(E36*G36)+(E37*G37)</f>
        <v>185145.2</v>
      </c>
      <c r="F61" s="3"/>
      <c r="G61" s="3"/>
      <c r="H61" s="2" t="s">
        <v>254</v>
      </c>
      <c r="I61" s="203">
        <f>C99*Data!$C$4/Common_Shares</f>
        <v>-8.7513222655769218E-2</v>
      </c>
      <c r="K61" s="172"/>
    </row>
    <row r="62" spans="2:11" ht="11.65" x14ac:dyDescent="0.35">
      <c r="B62" s="12" t="s">
        <v>128</v>
      </c>
      <c r="C62" s="204">
        <f>C11+C30</f>
        <v>1998219</v>
      </c>
      <c r="D62" s="205">
        <f t="shared" si="2"/>
        <v>0.9</v>
      </c>
      <c r="E62" s="206">
        <f>E11+E30</f>
        <v>1798397.1</v>
      </c>
      <c r="F62" s="3"/>
      <c r="G62" s="3"/>
      <c r="H62" s="2" t="s">
        <v>277</v>
      </c>
      <c r="I62" s="298">
        <f>IF(OR(C92="CN",C92="HK"),Dashboard!C14,Dashboard!C10)</f>
        <v>1.8100000000000002E-2</v>
      </c>
      <c r="K62" s="172"/>
    </row>
    <row r="63" spans="2:11" ht="11.65" x14ac:dyDescent="0.35">
      <c r="B63" s="57" t="s">
        <v>130</v>
      </c>
      <c r="C63" s="202">
        <f>C61+C62</f>
        <v>2923945</v>
      </c>
      <c r="D63" s="34">
        <f t="shared" si="2"/>
        <v>0.67837879987482663</v>
      </c>
      <c r="E63" s="184">
        <f>E61+E62</f>
        <v>1983542.3</v>
      </c>
      <c r="F63" s="3"/>
      <c r="G63" s="3"/>
      <c r="H63" s="2" t="s">
        <v>255</v>
      </c>
      <c r="I63" s="207">
        <f>IF(I61&gt;0,FV(I62,D93,0,-I61),I61)</f>
        <v>-8.7513222655769218E-2</v>
      </c>
      <c r="K63" s="172"/>
    </row>
    <row r="64" spans="2:11" ht="12" thickBot="1" x14ac:dyDescent="0.4">
      <c r="B64" s="208" t="s">
        <v>137</v>
      </c>
      <c r="C64" s="209"/>
      <c r="D64" s="209"/>
      <c r="E64" s="169">
        <f>D56+D57+D58</f>
        <v>2034922</v>
      </c>
      <c r="F64" s="3"/>
      <c r="G64" s="3"/>
      <c r="H64" s="2" t="s">
        <v>256</v>
      </c>
      <c r="I64" s="207">
        <f>IF(I61&gt;0,PV(C94,D93,0,-I63),I61)</f>
        <v>-8.7513222655769218E-2</v>
      </c>
      <c r="K64" s="172"/>
    </row>
    <row r="65" spans="1:11" ht="12" thickTop="1" x14ac:dyDescent="0.35">
      <c r="B65" s="9" t="s">
        <v>131</v>
      </c>
      <c r="C65" s="202">
        <f>C63-E64</f>
        <v>889023</v>
      </c>
      <c r="D65" s="34">
        <f t="shared" si="2"/>
        <v>-5.7793442914300254E-2</v>
      </c>
      <c r="E65" s="184">
        <f>E63-E64</f>
        <v>-51379.699999999953</v>
      </c>
      <c r="F65" s="3"/>
      <c r="G65" s="3"/>
      <c r="I65" s="3"/>
      <c r="K65" s="172"/>
    </row>
    <row r="66" spans="1:11" ht="11.65" x14ac:dyDescent="0.35">
      <c r="B66" s="9"/>
      <c r="C66" s="202"/>
      <c r="D66" s="34"/>
      <c r="E66" s="184"/>
      <c r="F66" s="3"/>
      <c r="G66" s="3"/>
      <c r="I66" s="3"/>
      <c r="K66" s="172"/>
    </row>
    <row r="67" spans="1:11" ht="11.65" x14ac:dyDescent="0.35">
      <c r="B67" s="6" t="s">
        <v>140</v>
      </c>
      <c r="C67" s="9"/>
      <c r="D67" s="200" t="s">
        <v>86</v>
      </c>
      <c r="E67" s="184"/>
      <c r="F67" s="3"/>
      <c r="G67" s="3"/>
      <c r="I67" s="3"/>
      <c r="K67" s="172"/>
    </row>
    <row r="68" spans="1:11" ht="11.65" x14ac:dyDescent="0.35">
      <c r="B68" s="57" t="s">
        <v>129</v>
      </c>
      <c r="C68" s="202">
        <f>C49-C63</f>
        <v>13930119</v>
      </c>
      <c r="D68" s="34">
        <f t="shared" si="2"/>
        <v>0.39614325979555531</v>
      </c>
      <c r="E68" s="202">
        <f>E49-E63</f>
        <v>5518322.7500000009</v>
      </c>
      <c r="F68" s="3"/>
      <c r="G68" s="3"/>
      <c r="I68" s="3"/>
      <c r="K68" s="172"/>
    </row>
    <row r="69" spans="1:11" ht="12" thickBot="1" x14ac:dyDescent="0.4">
      <c r="B69" s="208" t="s">
        <v>138</v>
      </c>
      <c r="C69" s="209"/>
      <c r="D69" s="209"/>
      <c r="E69" s="210">
        <f>I49-E64</f>
        <v>1955244</v>
      </c>
      <c r="F69" s="3"/>
      <c r="G69" s="3"/>
      <c r="I69" s="3"/>
      <c r="K69" s="172"/>
    </row>
    <row r="70" spans="1:11" ht="12" thickTop="1" x14ac:dyDescent="0.35">
      <c r="B70" s="57" t="s">
        <v>132</v>
      </c>
      <c r="C70" s="202">
        <f>C68-E69</f>
        <v>11974875</v>
      </c>
      <c r="D70" s="34">
        <f t="shared" si="2"/>
        <v>0.29754621655758418</v>
      </c>
      <c r="E70" s="202">
        <f>E68-E69</f>
        <v>3563078.7500000009</v>
      </c>
      <c r="F70" s="3"/>
      <c r="G70" s="3"/>
      <c r="I70" s="3"/>
      <c r="K70" s="172"/>
    </row>
    <row r="72" spans="1:11" ht="15" customHeight="1" x14ac:dyDescent="0.35">
      <c r="A72" s="4"/>
      <c r="B72" s="94" t="s">
        <v>116</v>
      </c>
      <c r="C72" s="310">
        <f>Data!C5</f>
        <v>45382</v>
      </c>
      <c r="D72" s="310"/>
      <c r="E72" s="324" t="s">
        <v>180</v>
      </c>
      <c r="F72" s="324"/>
      <c r="H72" s="324" t="s">
        <v>179</v>
      </c>
      <c r="I72" s="324"/>
      <c r="K72" s="160" t="s">
        <v>8</v>
      </c>
    </row>
    <row r="73" spans="1:11" ht="15" customHeight="1" x14ac:dyDescent="0.35">
      <c r="B73" s="96" t="str">
        <f>"(Numbers in "&amp;Data!C4&amp;Dashboard!G6&amp;")"</f>
        <v>(Numbers in 1000HKD)</v>
      </c>
      <c r="C73" s="311" t="s">
        <v>93</v>
      </c>
      <c r="D73" s="311"/>
      <c r="E73" s="325" t="s">
        <v>94</v>
      </c>
      <c r="F73" s="311"/>
      <c r="H73" s="325" t="s">
        <v>94</v>
      </c>
      <c r="I73" s="311"/>
      <c r="K73" s="75"/>
    </row>
    <row r="74" spans="1:11" ht="15" customHeight="1" x14ac:dyDescent="0.35">
      <c r="B74" s="9" t="s">
        <v>115</v>
      </c>
      <c r="C74" s="97">
        <f>Data!C6</f>
        <v>15325962</v>
      </c>
      <c r="D74" s="98"/>
      <c r="E74" s="256">
        <f>Inputs!E91</f>
        <v>12260769.600000001</v>
      </c>
      <c r="F74" s="98"/>
      <c r="H74" s="256">
        <f>Inputs!F91</f>
        <v>13793365.800000001</v>
      </c>
      <c r="I74" s="98"/>
      <c r="K74" s="75"/>
    </row>
    <row r="75" spans="1:11" ht="15" customHeight="1" x14ac:dyDescent="0.35">
      <c r="B75" s="100" t="s">
        <v>98</v>
      </c>
      <c r="C75" s="97">
        <f>Data!C8</f>
        <v>11151623</v>
      </c>
      <c r="D75" s="101">
        <f>C75/$C$74</f>
        <v>0.72762956087193742</v>
      </c>
      <c r="E75" s="256">
        <f>Inputs!E92</f>
        <v>8921298.4000000004</v>
      </c>
      <c r="F75" s="211">
        <f>E75/E74</f>
        <v>0.72762956087193742</v>
      </c>
      <c r="H75" s="256">
        <f>Inputs!F92</f>
        <v>10036460.700000001</v>
      </c>
      <c r="I75" s="211">
        <f>H75/$H$74</f>
        <v>0.72762956087193753</v>
      </c>
      <c r="K75" s="75"/>
    </row>
    <row r="76" spans="1:11" ht="15" customHeight="1" x14ac:dyDescent="0.35">
      <c r="B76" s="12" t="s">
        <v>88</v>
      </c>
      <c r="C76" s="145">
        <f>C74-C75</f>
        <v>4174339</v>
      </c>
      <c r="D76" s="212"/>
      <c r="E76" s="213">
        <f>E74-E75</f>
        <v>3339471.2000000011</v>
      </c>
      <c r="F76" s="212"/>
      <c r="H76" s="213">
        <f>H74-H75</f>
        <v>3756905.0999999996</v>
      </c>
      <c r="I76" s="212"/>
      <c r="K76" s="75"/>
    </row>
    <row r="77" spans="1:11" ht="15" customHeight="1" x14ac:dyDescent="0.35">
      <c r="B77" s="100" t="s">
        <v>217</v>
      </c>
      <c r="C77" s="97">
        <f>Data!C10+MAX(Data!C11,0)</f>
        <v>2297566</v>
      </c>
      <c r="D77" s="101">
        <f>C77/$C$74</f>
        <v>0.14991333007350532</v>
      </c>
      <c r="E77" s="256">
        <f>Inputs!E93</f>
        <v>2027931.2918400001</v>
      </c>
      <c r="F77" s="211">
        <f>E77/E74</f>
        <v>0.16539999999999999</v>
      </c>
      <c r="H77" s="256">
        <f>Inputs!F93</f>
        <v>2281422.7033199999</v>
      </c>
      <c r="I77" s="211">
        <f>H77/$H$74</f>
        <v>0.16539999999999999</v>
      </c>
      <c r="K77" s="75"/>
    </row>
    <row r="78" spans="1:11" ht="15" customHeight="1" x14ac:dyDescent="0.35">
      <c r="B78" s="93" t="s">
        <v>151</v>
      </c>
      <c r="C78" s="97">
        <f>MAX(Data!C12,0)</f>
        <v>0</v>
      </c>
      <c r="D78" s="101">
        <f>C78/$C$74</f>
        <v>0</v>
      </c>
      <c r="E78" s="214">
        <f>E74*F78</f>
        <v>0</v>
      </c>
      <c r="F78" s="211">
        <f>I78</f>
        <v>0</v>
      </c>
      <c r="H78" s="256">
        <f>Inputs!F97</f>
        <v>0</v>
      </c>
      <c r="I78" s="211">
        <f>H78/$H$74</f>
        <v>0</v>
      </c>
      <c r="K78" s="75"/>
    </row>
    <row r="79" spans="1:11" ht="15" customHeight="1" x14ac:dyDescent="0.35">
      <c r="B79" s="215" t="s">
        <v>204</v>
      </c>
      <c r="C79" s="216">
        <f>C76-C77-C78</f>
        <v>1876773</v>
      </c>
      <c r="D79" s="217">
        <f>C79/C74</f>
        <v>0.12245710905455723</v>
      </c>
      <c r="E79" s="218">
        <f>E76-E77-E78</f>
        <v>1311539.908160001</v>
      </c>
      <c r="F79" s="217">
        <f>E79/E74</f>
        <v>0.10697043912806263</v>
      </c>
      <c r="G79" s="219"/>
      <c r="H79" s="218">
        <f>H76-H77-H78</f>
        <v>1475482.3966799998</v>
      </c>
      <c r="I79" s="217">
        <f>H79/H74</f>
        <v>0.10697043912806255</v>
      </c>
      <c r="K79" s="75"/>
    </row>
    <row r="80" spans="1:11" ht="15" customHeight="1" x14ac:dyDescent="0.35">
      <c r="B80" s="18" t="s">
        <v>102</v>
      </c>
      <c r="C80" s="97">
        <f>MAX(Data!C18,0)</f>
        <v>626583</v>
      </c>
      <c r="D80" s="101">
        <f>C80/$C$74</f>
        <v>4.0883763120383568E-2</v>
      </c>
      <c r="E80" s="214">
        <f>E74*F80</f>
        <v>306519.24000000005</v>
      </c>
      <c r="F80" s="211">
        <f>I80</f>
        <v>2.5000000000000001E-2</v>
      </c>
      <c r="H80" s="256">
        <f>Inputs!F96</f>
        <v>344834.14500000002</v>
      </c>
      <c r="I80" s="211">
        <f>H80/$H$74</f>
        <v>2.5000000000000001E-2</v>
      </c>
      <c r="K80" s="220" t="s">
        <v>120</v>
      </c>
    </row>
    <row r="81" spans="1:11" ht="15" customHeight="1" x14ac:dyDescent="0.35">
      <c r="B81" s="100" t="s">
        <v>223</v>
      </c>
      <c r="C81" s="97">
        <f>MAX(Data!C19,0)</f>
        <v>59596</v>
      </c>
      <c r="D81" s="101">
        <f>C81/$C$74</f>
        <v>3.8885650375487034E-3</v>
      </c>
      <c r="E81" s="214">
        <f>E74*F81</f>
        <v>47676.80000000001</v>
      </c>
      <c r="F81" s="211">
        <f>I81</f>
        <v>3.8885650375487034E-3</v>
      </c>
      <c r="H81" s="256">
        <f>Inputs!F94</f>
        <v>53636.4</v>
      </c>
      <c r="I81" s="211">
        <f>H81/$H$74</f>
        <v>3.8885650375487034E-3</v>
      </c>
      <c r="K81" s="75"/>
    </row>
    <row r="82" spans="1:11" ht="15" customHeight="1" x14ac:dyDescent="0.35">
      <c r="B82" s="18" t="s">
        <v>216</v>
      </c>
      <c r="C82" s="97">
        <f>ABS(MAX(Data!C23,0)-MAX(Data!C21,0))</f>
        <v>183842</v>
      </c>
      <c r="D82" s="101">
        <f>C82/$C$74</f>
        <v>1.1995462340308556E-2</v>
      </c>
      <c r="E82" s="256">
        <f>Inputs!E95</f>
        <v>122607.69600000001</v>
      </c>
      <c r="F82" s="211">
        <f>E82/E74</f>
        <v>0.01</v>
      </c>
      <c r="H82" s="256">
        <f>Inputs!F95</f>
        <v>137933.658</v>
      </c>
      <c r="I82" s="211">
        <f>H82/$H$74</f>
        <v>9.9999999999999985E-3</v>
      </c>
      <c r="K82" s="75"/>
    </row>
    <row r="83" spans="1:11" ht="15" customHeight="1" thickBot="1" x14ac:dyDescent="0.4">
      <c r="B83" s="221" t="s">
        <v>114</v>
      </c>
      <c r="C83" s="222">
        <f>C79-C81-C82-C80</f>
        <v>1006752</v>
      </c>
      <c r="D83" s="223">
        <f>C83/$C$74</f>
        <v>6.5689318556316406E-2</v>
      </c>
      <c r="E83" s="224">
        <f>E79-E81-E82-E80</f>
        <v>834736.17216000101</v>
      </c>
      <c r="F83" s="223">
        <f>E83/E74</f>
        <v>6.808187409051393E-2</v>
      </c>
      <c r="H83" s="224">
        <f>H79-H81-H82-H80</f>
        <v>939078.19367999979</v>
      </c>
      <c r="I83" s="223">
        <f>H83/$H$74</f>
        <v>6.8081874090513847E-2</v>
      </c>
      <c r="K83" s="75"/>
    </row>
    <row r="84" spans="1:11" ht="15" customHeight="1" thickTop="1" x14ac:dyDescent="0.35">
      <c r="B84" s="18" t="s">
        <v>89</v>
      </c>
      <c r="C84" s="225"/>
      <c r="D84" s="101">
        <f>I84</f>
        <v>0.25</v>
      </c>
      <c r="E84" s="226"/>
      <c r="F84" s="227">
        <f t="shared" ref="F84" si="3">I84</f>
        <v>0.25</v>
      </c>
      <c r="H84" s="226"/>
      <c r="I84" s="257">
        <f>Inputs!C16</f>
        <v>0.25</v>
      </c>
      <c r="K84" s="75"/>
    </row>
    <row r="85" spans="1:11" ht="15" customHeight="1" x14ac:dyDescent="0.35">
      <c r="B85" s="228" t="s">
        <v>147</v>
      </c>
      <c r="C85" s="216">
        <f>C83*(1-I84)</f>
        <v>755064</v>
      </c>
      <c r="D85" s="217">
        <f>C85/$C$74</f>
        <v>4.9266988917237298E-2</v>
      </c>
      <c r="E85" s="229">
        <f>E83*(1-F84)</f>
        <v>626052.12912000075</v>
      </c>
      <c r="F85" s="217">
        <f>E85/E74</f>
        <v>5.1061405567885451E-2</v>
      </c>
      <c r="G85" s="219"/>
      <c r="H85" s="229">
        <f>H83*(1-I84)</f>
        <v>704308.6452599999</v>
      </c>
      <c r="I85" s="217">
        <f>H85/$H$74</f>
        <v>5.1061405567885389E-2</v>
      </c>
      <c r="K85" s="75"/>
    </row>
    <row r="86" spans="1:11" ht="15" customHeight="1" x14ac:dyDescent="0.35">
      <c r="B86" s="3" t="s">
        <v>144</v>
      </c>
      <c r="C86" s="230">
        <f>C85*Data!C4/Common_Shares</f>
        <v>1.2860737597019014</v>
      </c>
      <c r="D86" s="98"/>
      <c r="E86" s="231">
        <f>E85*Data!C4/Common_Shares</f>
        <v>1.0663324108509207</v>
      </c>
      <c r="F86" s="98"/>
      <c r="H86" s="231">
        <f>H85*Data!C4/Common_Shares</f>
        <v>1.1996239622072842</v>
      </c>
      <c r="I86" s="98"/>
      <c r="K86" s="75"/>
    </row>
    <row r="87" spans="1:11" ht="15" customHeight="1" x14ac:dyDescent="0.35">
      <c r="B87" s="3" t="s">
        <v>182</v>
      </c>
      <c r="C87" s="232">
        <f>C86*Exchange_Rate/Dashboard!G3</f>
        <v>8.968436260124836E-2</v>
      </c>
      <c r="D87" s="98"/>
      <c r="E87" s="233">
        <f>E86*Exchange_Rate/Dashboard!G3</f>
        <v>7.4360698106758771E-2</v>
      </c>
      <c r="F87" s="98"/>
      <c r="H87" s="233">
        <f>H86*Exchange_Rate/Dashboard!G3</f>
        <v>8.36557853701035E-2</v>
      </c>
      <c r="I87" s="98"/>
      <c r="K87" s="75"/>
    </row>
    <row r="88" spans="1:11" ht="15" customHeight="1" x14ac:dyDescent="0.35">
      <c r="B88" s="8" t="s">
        <v>181</v>
      </c>
      <c r="C88" s="234">
        <f>Inputs!C44</f>
        <v>1.3599999999999999</v>
      </c>
      <c r="D88" s="235">
        <f>C88/C86</f>
        <v>1.0574821154233283</v>
      </c>
      <c r="E88" s="255">
        <f>Inputs!E98</f>
        <v>1</v>
      </c>
      <c r="F88" s="235">
        <f>E88/E86</f>
        <v>0.93779387161458572</v>
      </c>
      <c r="H88" s="255">
        <f>Inputs!F98</f>
        <v>1.1000000000000001</v>
      </c>
      <c r="I88" s="235">
        <f>H88/H86</f>
        <v>0.91695400780092962</v>
      </c>
      <c r="K88" s="75"/>
    </row>
    <row r="89" spans="1:11" ht="15" customHeight="1" x14ac:dyDescent="0.35">
      <c r="B89" s="3" t="s">
        <v>194</v>
      </c>
      <c r="C89" s="232">
        <f>C88*Exchange_Rate/Dashboard!G3</f>
        <v>9.4839609483960946E-2</v>
      </c>
      <c r="D89" s="98"/>
      <c r="E89" s="232">
        <f>E88*Exchange_Rate/Dashboard!G3</f>
        <v>6.9735006973500699E-2</v>
      </c>
      <c r="F89" s="98"/>
      <c r="H89" s="232">
        <f>H88*Exchange_Rate/Dashboard!G3</f>
        <v>7.6708507670850773E-2</v>
      </c>
      <c r="I89" s="98"/>
      <c r="K89" s="75"/>
    </row>
    <row r="90" spans="1:11" ht="15" customHeight="1" x14ac:dyDescent="0.35">
      <c r="B90" s="18"/>
      <c r="C90" s="176"/>
    </row>
    <row r="91" spans="1:11" ht="15" customHeight="1" x14ac:dyDescent="0.35">
      <c r="A91" s="4"/>
      <c r="B91" s="94" t="str">
        <f xml:space="preserve"> "Valuation Drivers in "&amp;Dashboard!H3</f>
        <v>Valuation Drivers in HKD</v>
      </c>
      <c r="C91" s="166"/>
      <c r="K91" s="160" t="s">
        <v>121</v>
      </c>
    </row>
    <row r="92" spans="1:11" ht="15" customHeight="1" x14ac:dyDescent="0.35">
      <c r="B92" s="83" t="s">
        <v>270</v>
      </c>
      <c r="C92" s="258" t="str">
        <f>Inputs!C15</f>
        <v>HK</v>
      </c>
      <c r="D92" s="83" t="s">
        <v>271</v>
      </c>
      <c r="E92" s="324" t="s">
        <v>180</v>
      </c>
      <c r="F92" s="324"/>
      <c r="G92" s="3"/>
      <c r="H92" s="324" t="s">
        <v>179</v>
      </c>
      <c r="I92" s="324"/>
      <c r="K92" s="75"/>
    </row>
    <row r="93" spans="1:11" ht="15" customHeight="1" x14ac:dyDescent="0.35">
      <c r="B93" s="2" t="str">
        <f>C92&amp;" Discount Rate"</f>
        <v>HK Discount Rate</v>
      </c>
      <c r="C93" s="236">
        <f>IF(C92="CN",Dashboard!C17,IF(C92="US",Dashboard!C12,IF(C92="HK",Dashboard!D12,Dashboard!D17)))</f>
        <v>7.5000000000000011E-2</v>
      </c>
      <c r="D93" s="253">
        <f>Dashboard!H20</f>
        <v>4</v>
      </c>
      <c r="E93" s="3" t="s">
        <v>183</v>
      </c>
      <c r="F93" s="237">
        <f>FV(E87,D93,0,-(E86/(C93-D94)))*Exchange_Rate</f>
        <v>25.830354772424297</v>
      </c>
      <c r="H93" s="3" t="s">
        <v>183</v>
      </c>
      <c r="I93" s="237">
        <f>FV(H87,D93,0,-(H86/(C93-D94)))*Exchange_Rate</f>
        <v>30.07792404635666</v>
      </c>
      <c r="K93" s="75"/>
    </row>
    <row r="94" spans="1:11" ht="15" customHeight="1" x14ac:dyDescent="0.35">
      <c r="B94" s="2" t="s">
        <v>185</v>
      </c>
      <c r="C94" s="238">
        <f>Dashboard!G20</f>
        <v>0.15</v>
      </c>
      <c r="D94" s="254">
        <f>Inputs!D87</f>
        <v>0.02</v>
      </c>
      <c r="E94" s="3" t="s">
        <v>184</v>
      </c>
      <c r="F94" s="237">
        <f>FV(E89,D93,0,-(E88/(C93-D94)))*Exchange_Rate</f>
        <v>23.809054197998936</v>
      </c>
      <c r="H94" s="3" t="s">
        <v>184</v>
      </c>
      <c r="I94" s="237">
        <f>FV(H89,D93,0,-(H88/(C93-D94)))*Exchange_Rate</f>
        <v>26.879585932908231</v>
      </c>
      <c r="K94" s="75"/>
    </row>
    <row r="95" spans="1:11" ht="15" customHeight="1" x14ac:dyDescent="0.35">
      <c r="E95" s="75"/>
      <c r="K95" s="75"/>
    </row>
    <row r="96" spans="1:11" ht="15" customHeight="1" x14ac:dyDescent="0.35">
      <c r="A96" s="4"/>
      <c r="B96" s="94" t="str">
        <f xml:space="preserve"> "Valuation in "&amp;Dashboard!H3</f>
        <v>Valuation in HKD</v>
      </c>
      <c r="C96" s="239" t="str">
        <f>Dashboard!H3</f>
        <v>HKD</v>
      </c>
      <c r="D96" s="240" t="s">
        <v>187</v>
      </c>
      <c r="E96" s="241" t="str">
        <f>E72</f>
        <v>Pessimistic Case</v>
      </c>
      <c r="F96" s="242" t="s">
        <v>209</v>
      </c>
      <c r="H96" s="241" t="str">
        <f>H72</f>
        <v>Base Case</v>
      </c>
      <c r="I96" s="240" t="s">
        <v>105</v>
      </c>
      <c r="K96" s="75"/>
    </row>
    <row r="97" spans="2:11" ht="15" customHeight="1" x14ac:dyDescent="0.35">
      <c r="B97" s="2" t="s">
        <v>119</v>
      </c>
      <c r="C97" s="243">
        <f>H97*Common_Shares/Data!C4</f>
        <v>10096582.170200801</v>
      </c>
      <c r="D97" s="244"/>
      <c r="E97" s="245">
        <f>PV(C94,D93,0,-F93)</f>
        <v>14.768589175953091</v>
      </c>
      <c r="F97" s="244"/>
      <c r="H97" s="245">
        <f>PV(C94,D93,0,-I93)</f>
        <v>17.197150694205163</v>
      </c>
      <c r="I97" s="245">
        <f>PV(C93,D93,0,-I93)</f>
        <v>22.522365460485432</v>
      </c>
      <c r="K97" s="75"/>
    </row>
    <row r="98" spans="2:11" ht="15" customHeight="1" x14ac:dyDescent="0.35">
      <c r="B98" s="18" t="s">
        <v>133</v>
      </c>
      <c r="C98" s="243">
        <f>-E53*Exchange_Rate</f>
        <v>0</v>
      </c>
      <c r="D98" s="244"/>
      <c r="E98" s="244"/>
      <c r="F98" s="244"/>
      <c r="H98" s="245">
        <f>C98*Data!$C$4/Common_Shares</f>
        <v>0</v>
      </c>
      <c r="I98" s="246"/>
      <c r="K98" s="75"/>
    </row>
    <row r="99" spans="2:11" ht="15" customHeight="1" thickBot="1" x14ac:dyDescent="0.4">
      <c r="B99" s="221" t="s">
        <v>134</v>
      </c>
      <c r="C99" s="247">
        <f>(E65+IF(E70&lt;0,E70,0))*Exchange_Rate</f>
        <v>-51379.699999999953</v>
      </c>
      <c r="D99" s="248"/>
      <c r="E99" s="249">
        <f>IF(H99&gt;0,I64,H99)</f>
        <v>-8.7513222655769218E-2</v>
      </c>
      <c r="F99" s="248"/>
      <c r="H99" s="249">
        <f>I64</f>
        <v>-8.7513222655769218E-2</v>
      </c>
      <c r="I99" s="250"/>
      <c r="K99" s="75"/>
    </row>
    <row r="100" spans="2:11" ht="15" customHeight="1" thickTop="1" x14ac:dyDescent="0.35">
      <c r="B100" s="2" t="s">
        <v>105</v>
      </c>
      <c r="C100" s="243"/>
      <c r="D100" s="251">
        <f>MIN(F100*(1-C94),E100)</f>
        <v>13.511053205559854</v>
      </c>
      <c r="E100" s="251">
        <f>MAX(E97+H98+E99,0)</f>
        <v>14.681075953297322</v>
      </c>
      <c r="F100" s="251">
        <f>(E100+H100)/2</f>
        <v>15.895356712423357</v>
      </c>
      <c r="H100" s="251">
        <f>MAX(H97+H98+H99,0)</f>
        <v>17.109637471549394</v>
      </c>
      <c r="I100" s="251">
        <f>MAX(I97+H98+H99,0)</f>
        <v>22.434852237829663</v>
      </c>
      <c r="K100" s="75"/>
    </row>
    <row r="101" spans="2:11" ht="15" customHeight="1" x14ac:dyDescent="0.35">
      <c r="E101" s="75"/>
      <c r="K101" s="75"/>
    </row>
    <row r="102" spans="2:11" ht="15" customHeight="1" x14ac:dyDescent="0.35">
      <c r="B102" s="83" t="s">
        <v>272</v>
      </c>
      <c r="C102" s="239"/>
      <c r="D102" s="240" t="s">
        <v>187</v>
      </c>
      <c r="E102" s="241" t="str">
        <f>E96</f>
        <v>Pessimistic Case</v>
      </c>
      <c r="F102" s="242" t="s">
        <v>209</v>
      </c>
      <c r="H102" s="241" t="str">
        <f>H96</f>
        <v>Base Case</v>
      </c>
      <c r="I102" s="240" t="s">
        <v>105</v>
      </c>
      <c r="K102" s="75"/>
    </row>
    <row r="103" spans="2:11" ht="15" customHeight="1" x14ac:dyDescent="0.35">
      <c r="B103" s="2" t="s">
        <v>145</v>
      </c>
      <c r="C103" s="243"/>
      <c r="D103" s="251">
        <f>MIN(F103*(1-C94),E103)</f>
        <v>12.317092666555968</v>
      </c>
      <c r="E103" s="245">
        <f>PV(C94,D93,0,-F94)</f>
        <v>13.612904012206329</v>
      </c>
      <c r="F103" s="251">
        <f>(E103+H103)/2</f>
        <v>14.490697254771728</v>
      </c>
      <c r="H103" s="245">
        <f>PV(C94,D93,0,-I94)</f>
        <v>15.368490497337126</v>
      </c>
      <c r="I103" s="251">
        <f>PV(C93,D93,0,-I94)</f>
        <v>20.127448186731279</v>
      </c>
      <c r="K103" s="75"/>
    </row>
    <row r="104" spans="2:11" ht="15" customHeight="1" x14ac:dyDescent="0.35">
      <c r="E104" s="75"/>
      <c r="K104" s="75"/>
    </row>
    <row r="105" spans="2:11" ht="15" customHeight="1" x14ac:dyDescent="0.35">
      <c r="B105" s="83" t="s">
        <v>171</v>
      </c>
      <c r="C105" s="239"/>
      <c r="D105" s="240" t="s">
        <v>187</v>
      </c>
      <c r="E105" s="252" t="str">
        <f>E96</f>
        <v>Pessimistic Case</v>
      </c>
      <c r="F105" s="242" t="s">
        <v>209</v>
      </c>
      <c r="H105" s="252" t="str">
        <f>H96</f>
        <v>Base Case</v>
      </c>
      <c r="I105" s="240" t="s">
        <v>105</v>
      </c>
      <c r="K105" s="75"/>
    </row>
    <row r="106" spans="2:11" ht="15" customHeight="1" x14ac:dyDescent="0.35">
      <c r="B106" s="2" t="s">
        <v>172</v>
      </c>
      <c r="C106" s="243"/>
      <c r="D106" s="251">
        <f>(D100+D103)/2</f>
        <v>12.914072936057911</v>
      </c>
      <c r="E106" s="245">
        <f>(E100+E103)/2</f>
        <v>14.146989982751826</v>
      </c>
      <c r="F106" s="251">
        <f>(F100+F103)/2</f>
        <v>15.193026983597543</v>
      </c>
      <c r="H106" s="245">
        <f>(H100+H103)/2</f>
        <v>16.239063984443259</v>
      </c>
      <c r="I106" s="245">
        <f>(I100+I103)/2</f>
        <v>21.281150212280473</v>
      </c>
      <c r="K106" s="75"/>
    </row>
    <row r="107" spans="2:11" ht="15" customHeight="1" x14ac:dyDescent="0.35">
      <c r="K107" s="75"/>
    </row>
    <row r="108" spans="2:11" ht="15" customHeight="1" x14ac:dyDescent="0.35">
      <c r="B108" s="83" t="s">
        <v>273</v>
      </c>
      <c r="C108" s="259" t="str">
        <f>Inputs!C87</f>
        <v>Profit</v>
      </c>
      <c r="K108" s="75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3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4E3F7-3175-4D7E-9B2C-B9C406E28DB9}">
  <dimension ref="B2:C11"/>
  <sheetViews>
    <sheetView showGridLines="0" workbookViewId="0">
      <selection activeCell="C46" sqref="C46"/>
    </sheetView>
  </sheetViews>
  <sheetFormatPr defaultRowHeight="11.65" x14ac:dyDescent="0.35"/>
  <cols>
    <col min="1" max="1" width="3" style="282" customWidth="1"/>
    <col min="2" max="2" width="14.86328125" style="282" bestFit="1" customWidth="1"/>
    <col min="3" max="3" width="103.9296875" style="282" customWidth="1"/>
    <col min="4" max="16384" width="9.06640625" style="282"/>
  </cols>
  <sheetData>
    <row r="2" spans="2:3" x14ac:dyDescent="0.35">
      <c r="B2" s="1" t="s">
        <v>265</v>
      </c>
      <c r="C2" s="1"/>
    </row>
    <row r="3" spans="2:3" x14ac:dyDescent="0.35">
      <c r="B3" s="62"/>
      <c r="C3" s="62"/>
    </row>
    <row r="4" spans="2:3" x14ac:dyDescent="0.35">
      <c r="B4" s="60" t="s">
        <v>263</v>
      </c>
      <c r="C4" s="61" t="s">
        <v>264</v>
      </c>
    </row>
    <row r="5" spans="2:3" x14ac:dyDescent="0.35">
      <c r="B5" s="60"/>
      <c r="C5" s="61"/>
    </row>
    <row r="6" spans="2:3" x14ac:dyDescent="0.35">
      <c r="B6" s="63" t="s">
        <v>266</v>
      </c>
      <c r="C6" s="64" t="s">
        <v>267</v>
      </c>
    </row>
    <row r="7" spans="2:3" x14ac:dyDescent="0.35">
      <c r="B7" s="63"/>
      <c r="C7" s="64"/>
    </row>
    <row r="8" spans="2:3" x14ac:dyDescent="0.35">
      <c r="B8" s="290"/>
      <c r="C8" s="65" t="s">
        <v>268</v>
      </c>
    </row>
    <row r="10" spans="2:3" x14ac:dyDescent="0.35">
      <c r="B10" s="283" t="s">
        <v>269</v>
      </c>
    </row>
    <row r="11" spans="2:3" x14ac:dyDescent="0.35">
      <c r="B11" s="284">
        <f>Inputs!C6</f>
        <v>45643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Inputs</vt:lpstr>
      <vt:lpstr>Dashboard</vt:lpstr>
      <vt:lpstr>Data</vt:lpstr>
      <vt:lpstr>Fin_Analysis</vt:lpstr>
      <vt:lpstr>Note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2025-01-03T05:28:09Z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