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FD1ECDD-0E90-4606-A987-2DFAE4FD522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F96" i="4" l="1"/>
  <c r="F95" i="4"/>
  <c r="F97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<sst xmlns="http://schemas.openxmlformats.org/spreadsheetml/2006/main" count="405" uniqueCount="290">
  <si>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</si>
  <si>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</si>
  <si>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</si>
  <si>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</si>
  <si>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</si>
  <si>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</si>
  <si>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</si>
  <si>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</si>
  <si>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</si>
  <si>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</si>
  <si>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</si>
  <si>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</si>
  <si>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</si>
  <si>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</si>
  <si>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</si>
  <si>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</si>
  <si>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</si>
  <si>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</si>
  <si>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</si>
  <si>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</si>
  <si>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</si>
  <si>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</si>
  <si>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</si>
  <si>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</si>
  <si>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</si>
  <si>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</si>
  <si>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</si>
  <si>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</si>
  <si>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</si>
  <si>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</si>
  <si>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</si>
  <si>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</si>
  <si>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</si>
  <si>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</si>
  <si>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</si>
  <si>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</si>
  <si>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</si>
  <si>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</si>
  <si>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</si>
  <si>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</si>
  <si>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</si>
  <si>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</si>
  <si>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</si>
  <si>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</si>
  <si>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</si>
  <si>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</si>
  <si>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</si>
  <si>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</si>
  <si>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</si>
  <si>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</si>
  <si>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</si>
  <si>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</si>
  <si>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</si>
  <si>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</si>
  <si>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</si>
  <si>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</si>
  <si>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</si>
  <si>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</si>
  <si>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</si>
  <si>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</si>
  <si>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</si>
  <si>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</si>
  <si>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</si>
  <si>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</si>
  <si>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</si>
  <si>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</si>
  <si>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</si>
  <si>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</si>
  <si>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</si>
  <si>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</si>
  <si>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</si>
  <si>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</si>
  <si>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</si>
  <si>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</si>
  <si>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</si>
  <si>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</si>
  <si>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</si>
  <si>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</si>
  <si>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</si>
  <si>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</si>
  <si>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</si>
  <si>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</si>
  <si>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</si>
  <si>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</si>
  <si>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</si>
  <si>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</si>
  <si>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</si>
  <si>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</si>
  <si>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</si>
  <si>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</si>
  <si>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</si>
  <si>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</si>
  <si>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</si>
  <si>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</si>
  <si>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</si>
  <si>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</si>
  <si>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</si>
  <si>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</si>
  <si>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</si>
  <si>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</si>
  <si>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</si>
  <si>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</si>
  <si>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</si>
  <si>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</si>
  <si>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</si>
  <si>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</si>
  <si>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</si>
  <si>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</si>
  <si>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</si>
  <si>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</si>
  <si>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</si>
  <si>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</si>
  <si>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</si>
  <si>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</si>
  <si>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</si>
  <si>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</si>
  <si>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</si>
  <si>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</si>
  <si>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</si>
  <si>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</si>
  <si>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</si>
  <si>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</si>
  <si>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</si>
  <si>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</si>
  <si>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</si>
  <si>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</si>
  <si>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</si>
  <si>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</si>
  <si>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</si>
  <si>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</si>
  <si>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</si>
  <si>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</si>
  <si>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</si>
  <si>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</si>
  <si>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</si>
  <si>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</si>
  <si>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</si>
  <si>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</si>
  <si>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</si>
  <si>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</si>
  <si>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</si>
  <si>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</si>
  <si>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</si>
  <si>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</si>
  <si>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</si>
  <si>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</si>
  <si>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</si>
  <si>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</si>
  <si>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</si>
  <si>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</si>
  <si>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</si>
  <si>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</si>
  <si>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</si>
  <si>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</si>
  <si>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</si>
  <si>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</si>
  <si>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</si>
  <si>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</si>
  <si>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</si>
  <si>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</si>
  <si>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</si>
  <si>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</si>
  <si>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</si>
  <si>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</si>
  <si>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</si>
  <si>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</si>
  <si>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</si>
  <si>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</si>
  <si>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</si>
  <si>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</si>
  <si>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</si>
  <si>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</si>
  <si>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</si>
  <si>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</si>
  <si>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</si>
  <si>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</si>
  <si>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</si>
  <si>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</si>
  <si>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</si>
  <si>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</si>
  <si>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</si>
  <si>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</si>
  <si>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</si>
  <si>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</si>
  <si>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</si>
  <si>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</si>
  <si>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</si>
  <si>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</si>
  <si>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</si>
  <si>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</si>
  <si>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</si>
  <si>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</si>
  <si>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</si>
  <si>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</si>
  <si>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</si>
  <si>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</si>
  <si>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</si>
  <si>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</si>
  <si>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</si>
  <si>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</si>
  <si>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</si>
  <si>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</si>
  <si>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</si>
  <si>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</si>
  <si>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</si>
  <si>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</si>
  <si>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</si>
  <si>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</si>
  <si>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</si>
  <si>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</si>
  <si>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</si>
  <si>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</si>
  <si>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</si>
  <si>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</si>
  <si>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</si>
  <si>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</si>
  <si>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</si>
  <si>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</si>
  <si>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</si>
  <si>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</si>
  <si>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</si>
  <si>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</si>
  <si>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</si>
  <si>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</si>
  <si>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</si>
  <si>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</si>
  <si>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</si>
  <si>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</si>
  <si>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</si>
  <si>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</si>
  <si>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</si>
  <si>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</si>
  <si>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</si>
  <si>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</si>
  <si>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</si>
  <si>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</si>
  <si>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</si>
  <si>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</si>
  <si>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</si>
  <si>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</si>
  <si>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</si>
  <si>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</si>
  <si>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</si>
  <si>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</si>
  <si>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</si>
  <si>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</si>
  <si>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</si>
  <si>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</si>
  <si>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</si>
  <si>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</si>
  <si>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</si>
  <si>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</si>
  <si>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</si>
  <si>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</si>
  <si>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</si>
  <si>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</si>
  <si>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</si>
  <si>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</si>
  <si>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</si>
  <si>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</si>
  <si>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</si>
  <si>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</si>
  <si>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</si>
  <si>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</si>
  <si>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</si>
  <si>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</si>
  <si>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</si>
  <si>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</si>
  <si>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</si>
  <si>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</si>
  <si>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</si>
  <si>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</si>
  <si>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</si>
  <si>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</si>
  <si>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</si>
  <si>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</si>
  <si>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</si>
  <si>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</si>
  <si>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</si>
  <si>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</si>
  <si>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</si>
  <si>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0939.HK</t>
  </si>
  <si>
    <t>建设银行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</si>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</sst>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45605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250010977486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287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1402495</v>
      </c>
      <c r="D25" s="77">
        <v>1324203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669001</v>
      </c>
      <c r="D26" s="78">
        <v>567720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220152</v>
      </c>
      <c r="D27" s="78">
        <v>219991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136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-193</v>
      </c>
      <c r="D31" s="78">
        <v>136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>
        <v>213823</v>
      </c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>
        <v>8852611</v>
      </c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/>
      <c r="D37" s="78">
        <v>2466431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>
        <v>241133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>
        <v>35175</v>
      </c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>
        <v>67759</v>
      </c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>
        <v>12220942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>
        <v>-498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>
        <v>3475378</v>
      </c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0.4+0.197</f>
        <v>0.59699999999999998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0.1055567071287339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3339708</v>
      </c>
      <c r="D48" s="109">
        <v>0.9</v>
      </c>
      <c r="E48" s="260"/>
    </row>
    <row r="49" spans="2:5" x14ac:dyDescent="0.35">
      <c r="B49" s="2" t="s">
        <v>123</v>
      </c>
      <c r="C49" s="86">
        <v>683021</v>
      </c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>
        <v>2962684</v>
      </c>
      <c r="D51" s="109">
        <v>0.6</v>
      </c>
      <c r="E51" s="260"/>
    </row>
    <row r="52" spans="2:5" x14ac:dyDescent="0.35">
      <c r="B52" s="9" t="s">
        <v>36</v>
      </c>
      <c r="C52" s="86">
        <v>6961515</v>
      </c>
      <c r="D52" s="109">
        <v>0.5</v>
      </c>
      <c r="E52" s="260"/>
    </row>
    <row r="53" spans="2:5" x14ac:dyDescent="0.35">
      <c r="B53" s="2" t="s">
        <v>141</v>
      </c>
      <c r="C53" s="86">
        <v>25589624</v>
      </c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>
        <v>82672</v>
      </c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v>21347</v>
      </c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>
        <v>4094</v>
      </c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181735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5722</v>
      </c>
      <c r="D70" s="109">
        <v>0.05</v>
      </c>
      <c r="E70" s="260"/>
    </row>
    <row r="71" spans="2:5" x14ac:dyDescent="0.35">
      <c r="B71" s="9" t="s">
        <v>67</v>
      </c>
      <c r="C71" s="86">
        <v>118797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343468</v>
      </c>
      <c r="D72" s="111">
        <v>0</v>
      </c>
      <c r="E72" s="262"/>
    </row>
    <row r="73" spans="2:5" x14ac:dyDescent="0.35">
      <c r="B73" s="9" t="s">
        <v>31</v>
      </c>
      <c r="C73" s="86">
        <v>33710837</v>
      </c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>
        <v>2498474</v>
      </c>
    </row>
    <row r="77" spans="2:5" ht="12" thickBot="1" x14ac:dyDescent="0.4">
      <c r="B77" s="91" t="s">
        <v>15</v>
      </c>
      <c r="C77" s="92">
        <v>37038911</v>
      </c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>
        <v>3234661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1402495</v>
      </c>
      <c r="D91" s="98"/>
      <c r="E91" s="99">
        <f>C91</f>
        <v>1402495</v>
      </c>
      <c r="F91" s="99">
        <f>C91</f>
        <v>1402495</v>
      </c>
    </row>
    <row r="92" spans="2:8" x14ac:dyDescent="0.35">
      <c r="B92" s="100" t="s">
        <v>97</v>
      </c>
      <c r="C92" s="97">
        <f>C26</f>
        <v>669001</v>
      </c>
      <c r="D92" s="101">
        <f>C92/C91</f>
        <v>0.47700776116848903</v>
      </c>
      <c r="E92" s="102">
        <f>E91*D92</f>
        <v>669001</v>
      </c>
      <c r="F92" s="102">
        <f>F91*D92</f>
        <v>669001</v>
      </c>
    </row>
    <row r="93" spans="2:8" x14ac:dyDescent="0.35">
      <c r="B93" s="100" t="s">
        <v>215</v>
      </c>
      <c r="C93" s="97">
        <f>C27+C28</f>
        <v>220152</v>
      </c>
      <c r="D93" s="101">
        <f>C93/C91</f>
        <v>0.15697168260849415</v>
      </c>
      <c r="E93" s="102">
        <f>E91*D93</f>
        <v>220152</v>
      </c>
      <c r="F93" s="102">
        <f>F91*D93</f>
        <v>220152</v>
      </c>
    </row>
    <row r="94" spans="2:8" x14ac:dyDescent="0.35">
      <c r="B94" s="100" t="s">
        <v>221</v>
      </c>
      <c r="C94" s="97">
        <f>C29</f>
        <v>0</v>
      </c>
      <c r="D94" s="101">
        <f>C94/C91</f>
        <v>0</v>
      </c>
      <c r="E94" s="103"/>
      <c r="F94" s="102">
        <f>F91*D94</f>
        <v>0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0.59699999999999998</v>
      </c>
      <c r="D98" s="105"/>
      <c r="E98" s="106">
        <f>F98</f>
        <v>0.4</v>
      </c>
      <c r="F98" s="106">
        <v>0.4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0939.HK : 建设银行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0939.HK</v>
      </c>
      <c r="D3" s="318"/>
      <c r="E3" s="3"/>
      <c r="F3" s="9" t="s">
        <v>1</v>
      </c>
      <c r="G3" s="10">
        <v>6.02</v>
      </c>
      <c r="H3" s="11" t="s">
        <v>255</v>
      </c>
    </row>
    <row r="4" spans="1:10" ht="15.75" customHeight="1" x14ac:dyDescent="0.35">
      <c r="B4" s="12" t="s">
        <v>168</v>
      </c>
      <c r="C4" s="312" t="str">
        <f>Inputs!C5</f>
        <v>建设银行</v>
      </c>
      <c r="D4" s="319"/>
      <c r="E4" s="3"/>
      <c r="F4" s="9" t="s">
        <v>2</v>
      </c>
      <c r="G4" s="322">
        <f>Inputs!C10</f>
        <v>250010977486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45605</v>
      </c>
      <c r="D5" s="321"/>
      <c r="E5" s="16"/>
      <c r="F5" s="12" t="s">
        <v>91</v>
      </c>
      <c r="G5" s="315">
        <f>G3*G4/1000000</f>
        <v>1505066.08446572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0.36602055622301682</v>
      </c>
      <c r="F21" s="3"/>
      <c r="G21" s="34"/>
    </row>
    <row r="22" spans="1:8" ht="15.75" customHeight="1" x14ac:dyDescent="0.35">
      <c r="B22" s="35" t="s">
        <v>243</v>
      </c>
      <c r="C22" s="36" t="e">
        <f>Data!C50</f>
        <v>#DIV/0!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238</v>
      </c>
      <c r="C24" s="42">
        <f>Fin_Analysis!I81</f>
        <v>0</v>
      </c>
      <c r="F24" s="39" t="s">
        <v>223</v>
      </c>
      <c r="G24" s="43">
        <f>G3/(Fin_Analysis!H86*G7)</f>
        <v>3.6726497568329473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0.2597472795768383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7.0724761895299096E-2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222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4.5326865251917061</v>
      </c>
      <c r="D29" s="54">
        <f>G29*(1+G20)</f>
        <v>7.8837154177004241</v>
      </c>
      <c r="E29" s="3"/>
      <c r="F29" s="55">
        <f>IF(Fin_Analysis!C108="Profit",Fin_Analysis!F100,IF(Fin_Analysis!C108="Dividend",Fin_Analysis!F103,Fin_Analysis!F106))</f>
        <v>5.3325723825784781</v>
      </c>
      <c r="G29" s="314">
        <f>IF(Fin_Analysis!C108="Profit",Fin_Analysis!I100,IF(Fin_Analysis!C108="Dividend",Fin_Analysis!I103,Fin_Analysis!I106))</f>
        <v>6.8554047110438479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513342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1402495</v>
      </c>
      <c r="D6" s="142">
        <f>IF(Inputs!D25="","",Inputs!D25)</f>
        <v>1324203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5.9123865449632662E-2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669001</v>
      </c>
      <c r="D8" s="144">
        <f>IF(Inputs!D26="","",Inputs!D26)</f>
        <v>567720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733494</v>
      </c>
      <c r="D9" s="273">
        <f t="shared" si="2"/>
        <v>756483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220152</v>
      </c>
      <c r="D10" s="144">
        <f>IF(Inputs!D27="","",Inputs!D27)</f>
        <v>219991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181.33333333333334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0.36602055622301682</v>
      </c>
      <c r="D13" s="292">
        <f t="shared" si="3"/>
        <v>0.40500638245545934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513342</v>
      </c>
      <c r="D14" s="294">
        <f t="shared" ref="D14:M14" si="4">IF(D6="","",D9-D10-MAX(D11,0)-MAX(D12,0))</f>
        <v>536310.66666666663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-4.282716733833368E-2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-536174.66666666663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136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 t="str">
        <f>IF(Inputs!C29="","",Inputs!C29)</f>
        <v/>
      </c>
      <c r="D19" s="144" t="str">
        <f>IF(Inputs!D29="","",Inputs!D29)</f>
        <v/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513342</v>
      </c>
      <c r="D24" s="309">
        <f t="shared" si="9"/>
        <v>536310.66666666663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0.27451541716726263</v>
      </c>
      <c r="D25" s="143">
        <f t="shared" si="10"/>
        <v>0.30375478684159452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385006.5</v>
      </c>
      <c r="D26" s="276">
        <f>IF(D6="","",D24*(1-Fin_Analysis!$I$84))</f>
        <v>402233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-4.2827167338333749E-2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>
        <f>IF(D36="","",D36+D32)</f>
        <v>14687373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>
        <f>IF(Inputs!D35="","",Inputs!D35)</f>
        <v>213823</v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>
        <f>IF(Inputs!D36="","",Inputs!D36)</f>
        <v>8852611</v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0</v>
      </c>
      <c r="D32" s="144">
        <f>IF(Inputs!D37="","",Inputs!D37)</f>
        <v>2466431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36209311</v>
      </c>
      <c r="D33" s="144">
        <f>IF(Inputs!D39="","",Inputs!D39)</f>
        <v>35175</v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>
        <f>IF(Inputs!D40="","",Inputs!D40)</f>
        <v>67759</v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36209311</v>
      </c>
      <c r="D35" s="97">
        <f t="shared" ref="D35" si="23">IF(OR(D33="",D34=""),"",D33+D34)</f>
        <v>102934</v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>
        <f>IF(Inputs!D41="","",Inputs!D41)</f>
        <v>12220942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>
        <f>IF(Inputs!D42="","",Inputs!D42)</f>
        <v>-498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>
        <f>IF(Inputs!D43="","",Inputs!D43)</f>
        <v>3475378</v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-13367926</v>
      </c>
      <c r="D39" s="147">
        <f t="shared" ref="D39:M39" si="33">IF(D38="","",D29-D38)</f>
        <v>11211995</v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>
        <f>IF(D6="","",D14/MAX(D39,0))</f>
        <v>4.7833651965298471E-2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0.47700776116848903</v>
      </c>
      <c r="D42" s="150">
        <f t="shared" si="35"/>
        <v>0.42872580714588321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0.15697168260849415</v>
      </c>
      <c r="D43" s="146">
        <f t="shared" si="36"/>
        <v>0.16613087268341786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</v>
      </c>
      <c r="D45" s="146">
        <f t="shared" si="38"/>
        <v>0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1.3693771523953151E-4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0.36602055622301682</v>
      </c>
      <c r="D48" s="281">
        <f t="shared" si="41"/>
        <v>0.40500638245545934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 t="e">
        <f t="shared" ref="C50:M50" si="42">IF(C6="","",C6/C29)</f>
        <v>#DIV/0!</v>
      </c>
      <c r="D50" s="153">
        <f t="shared" si="42"/>
        <v>9.0159281717704043E-2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>
        <f t="shared" si="43"/>
        <v>0.16147297657534382</v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>
        <f t="shared" si="44"/>
        <v>6.6852370822298397</v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 t="e">
        <f t="shared" ref="C55:M55" si="46">IF(C36="","",(C36-C37)/C29)</f>
        <v>#DIV/0!</v>
      </c>
      <c r="D55" s="150">
        <f t="shared" si="46"/>
        <v>0.83210523760784183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1.4177071748203107E-2</v>
      </c>
      <c r="D56" s="154">
        <f t="shared" si="47"/>
        <v>5.2102382756588357</v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 t="str">
        <f t="shared" ref="C57:M57" si="48">IF(C24="","",IF(MAX(C19,0)&lt;=0,"-",C19/C24))</f>
        <v>-</v>
      </c>
      <c r="D57" s="146" t="str">
        <f t="shared" si="48"/>
        <v>-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>
        <f>IF(D36="","",IF(Inputs!D38=0,0,Inputs!D38/D29))</f>
        <v>1.6417707918223362E-2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 t="e">
        <f t="shared" ref="C60:M60" si="50">IF(C14="","",C14/(C36-C37))</f>
        <v>#DIV/0!</v>
      </c>
      <c r="D60" s="156">
        <f t="shared" si="50"/>
        <v>4.3882772133780196E-2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 t="e">
        <f t="shared" ref="C61:M61" si="51">IF(C24="","",C24/(C36-C37))</f>
        <v>#DIV/0!</v>
      </c>
      <c r="D61" s="156">
        <f t="shared" si="51"/>
        <v>4.3882772133780196E-2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1.0674328950978067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24292217.299999997</v>
      </c>
      <c r="E6" s="170" t="e">
        <f>1-D6/D3</f>
        <v>#DIV/0!</v>
      </c>
      <c r="F6" s="3"/>
      <c r="G6" s="3"/>
      <c r="H6" s="2" t="s">
        <v>24</v>
      </c>
      <c r="I6" s="168">
        <f>(C24+C25)/I28</f>
        <v>1.0674328950978067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103.42274803689756</v>
      </c>
      <c r="E7" s="167" t="str">
        <f>Dashboard!H3</f>
        <v>HKD</v>
      </c>
      <c r="H7" s="2" t="s">
        <v>25</v>
      </c>
      <c r="I7" s="168">
        <f>C24/I28</f>
        <v>0.1885966085773958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3339708</v>
      </c>
      <c r="D11" s="258">
        <f>Inputs!D48</f>
        <v>0.9</v>
      </c>
      <c r="E11" s="176">
        <f t="shared" ref="E11:E22" si="0">C11*D11</f>
        <v>3005737.2</v>
      </c>
      <c r="F11" s="260"/>
      <c r="G11" s="3"/>
      <c r="H11" s="9" t="s">
        <v>31</v>
      </c>
      <c r="I11" s="175">
        <f>Inputs!C73</f>
        <v>33710837</v>
      </c>
      <c r="J11" s="3"/>
      <c r="K11" s="75"/>
    </row>
    <row r="12" spans="1:11" ht="11.65" x14ac:dyDescent="0.35">
      <c r="B12" s="2" t="s">
        <v>123</v>
      </c>
      <c r="C12" s="175">
        <f>Inputs!C49</f>
        <v>683021</v>
      </c>
      <c r="D12" s="258">
        <f>Inputs!D49</f>
        <v>0.8</v>
      </c>
      <c r="E12" s="176">
        <f t="shared" si="0"/>
        <v>546416.80000000005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2962684</v>
      </c>
      <c r="D14" s="258">
        <f>Inputs!D51</f>
        <v>0.6</v>
      </c>
      <c r="E14" s="176">
        <f t="shared" si="0"/>
        <v>1777610.4</v>
      </c>
      <c r="F14" s="260"/>
      <c r="G14" s="3"/>
      <c r="H14" s="8" t="s">
        <v>35</v>
      </c>
      <c r="I14" s="178">
        <f>Inputs!C76</f>
        <v>2498474</v>
      </c>
      <c r="J14" s="3"/>
      <c r="K14" s="179"/>
    </row>
    <row r="15" spans="1:11" ht="11.65" x14ac:dyDescent="0.35">
      <c r="B15" s="9" t="s">
        <v>36</v>
      </c>
      <c r="C15" s="175">
        <f>Inputs!C52</f>
        <v>6961515</v>
      </c>
      <c r="D15" s="258">
        <f>Inputs!D52</f>
        <v>0.5</v>
      </c>
      <c r="E15" s="176">
        <f t="shared" si="0"/>
        <v>3480757.5</v>
      </c>
      <c r="F15" s="260"/>
      <c r="G15" s="3"/>
      <c r="H15" s="2" t="s">
        <v>46</v>
      </c>
      <c r="I15" s="180">
        <f>SUM(I11:I14)</f>
        <v>36209311</v>
      </c>
      <c r="J15" s="3"/>
    </row>
    <row r="16" spans="1:11" ht="11.65" x14ac:dyDescent="0.35">
      <c r="B16" s="2" t="s">
        <v>141</v>
      </c>
      <c r="C16" s="175">
        <f>Inputs!C53</f>
        <v>25589624</v>
      </c>
      <c r="D16" s="258">
        <f>Inputs!D53</f>
        <v>0.6</v>
      </c>
      <c r="E16" s="176">
        <f t="shared" si="0"/>
        <v>15353774.399999999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829600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6985413</v>
      </c>
      <c r="D24" s="185">
        <f>IF(E24=0,0,E24/C24)</f>
        <v>0.76298486574809543</v>
      </c>
      <c r="E24" s="176">
        <f>SUM(E11:E14)</f>
        <v>5329764.4000000004</v>
      </c>
      <c r="F24" s="186">
        <f>E24/$E$28</f>
        <v>0.22056360896385802</v>
      </c>
      <c r="G24" s="3"/>
    </row>
    <row r="25" spans="2:10" ht="15" customHeight="1" x14ac:dyDescent="0.35">
      <c r="B25" s="183" t="s">
        <v>47</v>
      </c>
      <c r="C25" s="184">
        <f>SUM(C15:C17)</f>
        <v>32551139</v>
      </c>
      <c r="D25" s="185">
        <f>IF(E25=0,0,E25/C25)</f>
        <v>0.57861360550240648</v>
      </c>
      <c r="E25" s="176">
        <f>SUM(E15:E17)</f>
        <v>18834531.899999999</v>
      </c>
      <c r="F25" s="186">
        <f>E25/$E$28</f>
        <v>0.77943639103614204</v>
      </c>
      <c r="G25" s="3"/>
      <c r="H25" s="183" t="s">
        <v>48</v>
      </c>
      <c r="I25" s="168">
        <f>E28/I28</f>
        <v>0.65240299046589134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>
        <f>E26/$E$28</f>
        <v>0</v>
      </c>
      <c r="G26" s="3"/>
      <c r="H26" s="183" t="s">
        <v>50</v>
      </c>
      <c r="I26" s="168">
        <f>E24/($I$28-I22)</f>
        <v>0.14719320121832752</v>
      </c>
      <c r="J26" s="187" t="str">
        <f>IF(I26&lt;1,"Liquidity Problem!","")</f>
        <v>Liquidity Problem!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52</v>
      </c>
      <c r="I27" s="168">
        <f>(E25+E24)/$I$28</f>
        <v>0.65240299046589134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14</v>
      </c>
      <c r="C28" s="189">
        <f>SUM(C11:C22)</f>
        <v>39536552</v>
      </c>
      <c r="D28" s="190">
        <f>E28/C28</f>
        <v>0.61118876274289158</v>
      </c>
      <c r="E28" s="191">
        <f>SUM(E24:E27)</f>
        <v>24164296.299999997</v>
      </c>
      <c r="F28" s="87"/>
      <c r="G28" s="3"/>
      <c r="H28" s="188" t="s">
        <v>15</v>
      </c>
      <c r="I28" s="161">
        <f>Inputs!C77</f>
        <v>37038911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82672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21347</v>
      </c>
      <c r="D35" s="258">
        <f>Inputs!D65</f>
        <v>0.1</v>
      </c>
      <c r="E35" s="176">
        <f t="shared" si="1"/>
        <v>2134.7000000000003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4094</v>
      </c>
      <c r="D37" s="258">
        <f>Inputs!D67</f>
        <v>0.1</v>
      </c>
      <c r="E37" s="176">
        <f t="shared" si="1"/>
        <v>409.40000000000003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181735</v>
      </c>
      <c r="D38" s="258">
        <f>Inputs!D68</f>
        <v>0.1</v>
      </c>
      <c r="E38" s="176">
        <f t="shared" si="1"/>
        <v>18173.5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5722</v>
      </c>
      <c r="D40" s="258">
        <f>Inputs!D70</f>
        <v>0.05</v>
      </c>
      <c r="E40" s="176">
        <f t="shared" si="1"/>
        <v>286.10000000000002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118797</v>
      </c>
      <c r="D41" s="258">
        <f>Inputs!D71</f>
        <v>0.9</v>
      </c>
      <c r="E41" s="176">
        <f t="shared" si="1"/>
        <v>106917.3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343468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-37038911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82672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21347</v>
      </c>
      <c r="D45" s="185">
        <f>IF(E45=0,0,E45/C45)</f>
        <v>0.10000000000000002</v>
      </c>
      <c r="E45" s="176">
        <f>SUM(E32:E35)</f>
        <v>2134.7000000000003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185829</v>
      </c>
      <c r="D46" s="185">
        <f>IF(E46=0,0,E46/C46)</f>
        <v>0.1</v>
      </c>
      <c r="E46" s="176">
        <f>E36+E37+E38+E39</f>
        <v>18582.900000000001</v>
      </c>
      <c r="F46" s="3"/>
      <c r="G46" s="3"/>
      <c r="H46" s="183" t="s">
        <v>73</v>
      </c>
      <c r="I46" s="168">
        <f>(E44+E24)/E64</f>
        <v>0.14719320121832752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74</v>
      </c>
      <c r="C47" s="184">
        <f>C40+C41+C42</f>
        <v>467987</v>
      </c>
      <c r="D47" s="185">
        <f>IF(E47=0,0,E47/C47)</f>
        <v>0.22907345716868205</v>
      </c>
      <c r="E47" s="176">
        <f>E40+E41+E42</f>
        <v>107203.40000000001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757835</v>
      </c>
      <c r="D48" s="195">
        <f>E48/C48</f>
        <v>0.16879795733899861</v>
      </c>
      <c r="E48" s="196">
        <f>SUM(E30:E42)</f>
        <v>127921</v>
      </c>
      <c r="F48" s="3"/>
      <c r="G48" s="3"/>
      <c r="H48" s="91" t="s">
        <v>77</v>
      </c>
      <c r="I48" s="197">
        <f>I49-I28</f>
        <v>-37038911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24292217.299999997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36209311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9945546</v>
      </c>
      <c r="D61" s="170">
        <f t="shared" ref="D61:D70" si="2">IF(E61=0,0,E61/C61)</f>
        <v>0.52893049813454185</v>
      </c>
      <c r="E61" s="182">
        <f>E14+E15+(E19*G19)+(E20*G20)+E31+E32+(E35*G35)+(E36*G36)+(E37*G37)</f>
        <v>5260502.6000000006</v>
      </c>
      <c r="F61" s="3"/>
      <c r="G61" s="3"/>
      <c r="H61" s="2" t="s">
        <v>252</v>
      </c>
      <c r="I61" s="203">
        <f>C99*Data!$C$4/Common_Shares</f>
        <v>-118.96605305332456</v>
      </c>
      <c r="K61" s="172"/>
    </row>
    <row r="62" spans="2:11" ht="11.65" x14ac:dyDescent="0.35">
      <c r="B62" s="12" t="s">
        <v>127</v>
      </c>
      <c r="C62" s="204">
        <f>C11+C30</f>
        <v>3422380</v>
      </c>
      <c r="D62" s="205">
        <f t="shared" si="2"/>
        <v>0.87825933999146799</v>
      </c>
      <c r="E62" s="206">
        <f>E11+E30</f>
        <v>3005737.2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13367926</v>
      </c>
      <c r="D63" s="34">
        <f t="shared" si="2"/>
        <v>0.6183636713728069</v>
      </c>
      <c r="E63" s="184">
        <f>E61+E62</f>
        <v>8266239.8000000007</v>
      </c>
      <c r="F63" s="3"/>
      <c r="G63" s="3"/>
      <c r="H63" s="2" t="s">
        <v>253</v>
      </c>
      <c r="I63" s="207">
        <f>IF(I61&gt;0,FV(I62,D93,0,-I61),I61)</f>
        <v>-118.96605305332456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36209311</v>
      </c>
      <c r="F64" s="3"/>
      <c r="G64" s="3"/>
      <c r="H64" s="2" t="s">
        <v>254</v>
      </c>
      <c r="I64" s="207">
        <f>IF(I61&gt;0,PV(C94,D93,0,-I63),I61)</f>
        <v>-118.96605305332456</v>
      </c>
      <c r="K64" s="172"/>
    </row>
    <row r="65" spans="1:11" ht="12" thickTop="1" x14ac:dyDescent="0.35">
      <c r="B65" s="9" t="s">
        <v>130</v>
      </c>
      <c r="C65" s="202">
        <f>C63-E64</f>
        <v>-22841385</v>
      </c>
      <c r="D65" s="34">
        <f t="shared" si="2"/>
        <v>1.2233527520332064</v>
      </c>
      <c r="E65" s="184">
        <f>E63-E64</f>
        <v>-27943071.199999999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-13367926</v>
      </c>
      <c r="D68" s="34">
        <f t="shared" si="2"/>
        <v>-1.198837987283891</v>
      </c>
      <c r="E68" s="202">
        <f>E49-E63</f>
        <v>16025977.499999996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-36209311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22841385</v>
      </c>
      <c r="D70" s="34">
        <f t="shared" si="2"/>
        <v>2.2868704546593825</v>
      </c>
      <c r="E70" s="202">
        <f>E68-E69</f>
        <v>52235288.5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1402495</v>
      </c>
      <c r="D74" s="98"/>
      <c r="E74" s="256">
        <f>Inputs!E91</f>
        <v>1402495</v>
      </c>
      <c r="F74" s="98"/>
      <c r="H74" s="256">
        <f>Inputs!F91</f>
        <v>1402495</v>
      </c>
      <c r="I74" s="98"/>
      <c r="K74" s="75"/>
    </row>
    <row r="75" spans="1:11" ht="15" customHeight="1" x14ac:dyDescent="0.35">
      <c r="B75" s="100" t="s">
        <v>97</v>
      </c>
      <c r="C75" s="97">
        <f>Data!C8</f>
        <v>669001</v>
      </c>
      <c r="D75" s="101">
        <f>C75/$C$74</f>
        <v>0.47700776116848903</v>
      </c>
      <c r="E75" s="256">
        <f>Inputs!E92</f>
        <v>669001</v>
      </c>
      <c r="F75" s="211">
        <f>E75/E74</f>
        <v>0.47700776116848903</v>
      </c>
      <c r="H75" s="256">
        <f>Inputs!F92</f>
        <v>669001</v>
      </c>
      <c r="I75" s="211">
        <f>H75/$H$74</f>
        <v>0.47700776116848903</v>
      </c>
      <c r="K75" s="75"/>
    </row>
    <row r="76" spans="1:11" ht="15" customHeight="1" x14ac:dyDescent="0.35">
      <c r="B76" s="12" t="s">
        <v>87</v>
      </c>
      <c r="C76" s="145">
        <f>C74-C75</f>
        <v>733494</v>
      </c>
      <c r="D76" s="212"/>
      <c r="E76" s="213">
        <f>E74-E75</f>
        <v>733494</v>
      </c>
      <c r="F76" s="212"/>
      <c r="H76" s="213">
        <f>H74-H75</f>
        <v>733494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220152</v>
      </c>
      <c r="D77" s="101">
        <f>C77/$C$74</f>
        <v>0.15697168260849415</v>
      </c>
      <c r="E77" s="256">
        <f>Inputs!E93</f>
        <v>220152</v>
      </c>
      <c r="F77" s="211">
        <f>E77/E74</f>
        <v>0.15697168260849415</v>
      </c>
      <c r="H77" s="256">
        <f>Inputs!F93</f>
        <v>220152</v>
      </c>
      <c r="I77" s="211">
        <f>H77/$H$74</f>
        <v>0.15697168260849415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513342</v>
      </c>
      <c r="D79" s="217">
        <f>C79/C74</f>
        <v>0.36602055622301682</v>
      </c>
      <c r="E79" s="218">
        <f>E76-E77-E78</f>
        <v>513342</v>
      </c>
      <c r="F79" s="217">
        <f>E79/E74</f>
        <v>0.36602055622301682</v>
      </c>
      <c r="G79" s="219"/>
      <c r="H79" s="218">
        <f>H76-H77-H78</f>
        <v>513342</v>
      </c>
      <c r="I79" s="217">
        <f>H79/H74</f>
        <v>0.36602055622301682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0</v>
      </c>
      <c r="D81" s="101">
        <f>C81/$C$74</f>
        <v>0</v>
      </c>
      <c r="E81" s="214">
        <f>E74*F81</f>
        <v>0</v>
      </c>
      <c r="F81" s="211">
        <f>I81</f>
        <v>0</v>
      </c>
      <c r="H81" s="256">
        <f>Inputs!F94</f>
        <v>0</v>
      </c>
      <c r="I81" s="211">
        <f>H81/$H$74</f>
        <v>0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513342</v>
      </c>
      <c r="D83" s="223">
        <f>C83/$C$74</f>
        <v>0.36602055622301682</v>
      </c>
      <c r="E83" s="224">
        <f>E79-E81-E82-E80</f>
        <v>513342</v>
      </c>
      <c r="F83" s="223">
        <f>E83/E74</f>
        <v>0.36602055622301682</v>
      </c>
      <c r="H83" s="224">
        <f>H79-H81-H82-H80</f>
        <v>513342</v>
      </c>
      <c r="I83" s="223">
        <f>H83/$H$74</f>
        <v>0.36602055622301682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385006.5</v>
      </c>
      <c r="D85" s="217">
        <f>C85/$C$74</f>
        <v>0.27451541716726263</v>
      </c>
      <c r="E85" s="229">
        <f>E83*(1-F84)</f>
        <v>385006.5</v>
      </c>
      <c r="F85" s="217">
        <f>E85/E74</f>
        <v>0.27451541716726263</v>
      </c>
      <c r="G85" s="219"/>
      <c r="H85" s="229">
        <f>H83*(1-I84)</f>
        <v>385006.5</v>
      </c>
      <c r="I85" s="217">
        <f>H85/$H$74</f>
        <v>0.27451541716726263</v>
      </c>
      <c r="K85" s="75"/>
    </row>
    <row r="86" spans="1:11" ht="15" customHeight="1" x14ac:dyDescent="0.35">
      <c r="B86" s="3" t="s">
        <v>143</v>
      </c>
      <c r="C86" s="230">
        <f>C85*Data!C4/Common_Shares</f>
        <v>1.5399583805137493</v>
      </c>
      <c r="D86" s="98"/>
      <c r="E86" s="231">
        <f>E85*Data!C4/Common_Shares</f>
        <v>1.5399583805137493</v>
      </c>
      <c r="F86" s="98"/>
      <c r="H86" s="231">
        <f>H85*Data!C4/Common_Shares</f>
        <v>1.5399583805137493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0.27228297447626332</v>
      </c>
      <c r="D87" s="98"/>
      <c r="E87" s="233">
        <f>E86*Exchange_Rate/Dashboard!G3</f>
        <v>0.27228297447626332</v>
      </c>
      <c r="F87" s="98"/>
      <c r="H87" s="233">
        <f>H86*Exchange_Rate/Dashboard!G3</f>
        <v>0.27228297447626332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0.59699999999999998</v>
      </c>
      <c r="D88" s="235">
        <f>C88/C86</f>
        <v>0.38767281476843118</v>
      </c>
      <c r="E88" s="255">
        <f>Inputs!E98</f>
        <v>0.4</v>
      </c>
      <c r="F88" s="235">
        <f>E88/E86</f>
        <v>0.2597472795768383</v>
      </c>
      <c r="H88" s="255">
        <f>Inputs!F98</f>
        <v>0.4</v>
      </c>
      <c r="I88" s="235">
        <f>H88/H86</f>
        <v>0.2597472795768383</v>
      </c>
      <c r="K88" s="75"/>
    </row>
    <row r="89" spans="1:11" ht="15" customHeight="1" x14ac:dyDescent="0.35">
      <c r="B89" s="3" t="s">
        <v>193</v>
      </c>
      <c r="C89" s="232">
        <f>C88*Exchange_Rate/Dashboard!G3</f>
        <v>0.1055567071287339</v>
      </c>
      <c r="D89" s="98"/>
      <c r="E89" s="232">
        <f>E88*Exchange_Rate/Dashboard!G3</f>
        <v>7.0724761895299096E-2</v>
      </c>
      <c r="F89" s="98"/>
      <c r="H89" s="232">
        <f>H88*Exchange_Rate/Dashboard!G3</f>
        <v>7.0724761895299096E-2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71.581466127958663</v>
      </c>
      <c r="H93" s="3" t="s">
        <v>182</v>
      </c>
      <c r="I93" s="237">
        <f>FV(H87,D93,0,-(H86/(C93-D94)))*Exchange_Rate</f>
        <v>71.581466127958663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9.3267024257071469</v>
      </c>
      <c r="H94" s="3" t="s">
        <v>183</v>
      </c>
      <c r="I94" s="237">
        <f>FV(H89,D93,0,-(H88/(C93-D94)))*Exchange_Rate</f>
        <v>9.3267024257071469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10232183.170604423</v>
      </c>
      <c r="D97" s="244"/>
      <c r="E97" s="245">
        <f>PV(C94,D93,0,-F93)</f>
        <v>40.926935582968149</v>
      </c>
      <c r="F97" s="244"/>
      <c r="H97" s="245">
        <f>PV(C94,D93,0,-I93)</f>
        <v>40.926935582968149</v>
      </c>
      <c r="I97" s="245">
        <f>PV(C93,D93,0,-I93)</f>
        <v>52.61451451098776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-29742819.211513009</v>
      </c>
      <c r="D99" s="248"/>
      <c r="E99" s="249">
        <f>IF(H99&gt;0,I64,H99)</f>
        <v>-118.96605305332456</v>
      </c>
      <c r="F99" s="248"/>
      <c r="H99" s="249">
        <f>I64</f>
        <v>-118.96605305332456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4.5326865251917061</v>
      </c>
      <c r="E103" s="245">
        <f>PV(C94,D93,0,-F94)</f>
        <v>5.3325723825784781</v>
      </c>
      <c r="F103" s="251">
        <f>(E103+H103)/2</f>
        <v>5.3325723825784781</v>
      </c>
      <c r="H103" s="245">
        <f>PV(C94,D93,0,-I94)</f>
        <v>5.3325723825784781</v>
      </c>
      <c r="I103" s="251">
        <f>PV(C93,D93,0,-I94)</f>
        <v>6.8554047110438479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2.2663432625958531</v>
      </c>
      <c r="E106" s="245">
        <f>(E100+E103)/2</f>
        <v>2.666286191289239</v>
      </c>
      <c r="F106" s="251">
        <f>(F100+F103)/2</f>
        <v>2.666286191289239</v>
      </c>
      <c r="H106" s="245">
        <f>(H100+H103)/2</f>
        <v>2.666286191289239</v>
      </c>
      <c r="I106" s="245">
        <f>(I100+I103)/2</f>
        <v>3.4277023555219239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