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ADF2061-8916-437A-AC12-00BDADA7382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E92" i="4" l="1"/>
  <c r="F92" i="4"/>
  <c r="F95" i="4"/>
  <c r="F96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H82" i="3" l="1"/>
  <c r="E82" i="3"/>
  <c r="E83" i="3" s="1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<sst xmlns="http://schemas.openxmlformats.org/spreadsheetml/2006/main" count="405" uniqueCount="289">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</sst>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21481669957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286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286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287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1009309</v>
      </c>
      <c r="D25" s="77">
        <v>937259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0</v>
      </c>
      <c r="D26" s="78">
        <v>0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874963</v>
      </c>
      <c r="D27" s="78">
        <v>808160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3730</v>
      </c>
      <c r="D29" s="78">
        <v>2330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135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169</v>
      </c>
      <c r="D31" s="78">
        <v>135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22422</v>
      </c>
      <c r="D32" s="78">
        <v>22811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207132</v>
      </c>
      <c r="D33" s="78">
        <v>200077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181263</v>
      </c>
      <c r="D34" s="78">
        <v>189588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>
        <v>68428</v>
      </c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>
        <v>12026</v>
      </c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>
        <v>637738</v>
      </c>
      <c r="D37" s="78">
        <v>558565</v>
      </c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>
        <v>88107</v>
      </c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35175</v>
      </c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67759</v>
      </c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1383869</v>
      </c>
      <c r="D41" s="302">
        <v>1345985</v>
      </c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4325</v>
      </c>
      <c r="D42" s="78">
        <v>4253</v>
      </c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>
        <v>795161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2.175+2.373</f>
        <v>4.548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6.3654517650917758E-2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172891</v>
      </c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>
        <v>100939</v>
      </c>
      <c r="D50" s="109">
        <f>D51</f>
        <v>0.6</v>
      </c>
      <c r="E50" s="260"/>
    </row>
    <row r="51" spans="2:5" x14ac:dyDescent="0.35">
      <c r="B51" s="9" t="s">
        <v>34</v>
      </c>
      <c r="C51" s="86">
        <v>176336</v>
      </c>
      <c r="D51" s="109">
        <v>0.6</v>
      </c>
      <c r="E51" s="260"/>
    </row>
    <row r="52" spans="2:5" x14ac:dyDescent="0.35">
      <c r="B52" s="9" t="s">
        <v>36</v>
      </c>
      <c r="C52" s="86">
        <v>19344</v>
      </c>
      <c r="D52" s="109">
        <v>0.5</v>
      </c>
      <c r="E52" s="260"/>
    </row>
    <row r="53" spans="2:5" x14ac:dyDescent="0.35">
      <c r="B53" s="2" t="s">
        <v>141</v>
      </c>
      <c r="C53" s="86">
        <v>22728</v>
      </c>
      <c r="D53" s="109">
        <f>D50</f>
        <v>0.6</v>
      </c>
      <c r="E53" s="260"/>
    </row>
    <row r="54" spans="2:5" x14ac:dyDescent="0.35">
      <c r="B54" s="9" t="s">
        <v>225</v>
      </c>
      <c r="C54" s="86">
        <v>28822</v>
      </c>
      <c r="D54" s="109">
        <v>0.1</v>
      </c>
      <c r="E54" s="260"/>
    </row>
    <row r="55" spans="2:5" x14ac:dyDescent="0.35">
      <c r="B55" s="9" t="s">
        <v>39</v>
      </c>
      <c r="C55" s="86">
        <v>12616</v>
      </c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>
        <v>507</v>
      </c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>
        <v>75495</v>
      </c>
      <c r="D60" s="109">
        <f>D49</f>
        <v>0.8</v>
      </c>
      <c r="E60" s="260"/>
    </row>
    <row r="61" spans="2:5" x14ac:dyDescent="0.35">
      <c r="B61" s="9" t="s">
        <v>55</v>
      </c>
      <c r="C61" s="86">
        <v>182795</v>
      </c>
      <c r="D61" s="109">
        <f>D51</f>
        <v>0.6</v>
      </c>
      <c r="E61" s="260"/>
    </row>
    <row r="62" spans="2:5" x14ac:dyDescent="0.35">
      <c r="B62" s="9" t="s">
        <v>57</v>
      </c>
      <c r="C62" s="86">
        <v>5625</v>
      </c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>
        <v>185013</v>
      </c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>
        <v>94862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781712</v>
      </c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>
        <v>34291</v>
      </c>
      <c r="D70" s="109">
        <v>0.05</v>
      </c>
      <c r="E70" s="260"/>
    </row>
    <row r="71" spans="2:5" x14ac:dyDescent="0.35">
      <c r="B71" s="9" t="s">
        <v>67</v>
      </c>
      <c r="C71" s="86">
        <v>47891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79740</v>
      </c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>
        <v>33448</v>
      </c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554255</v>
      </c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>
        <v>62222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>
        <v>83483</v>
      </c>
    </row>
    <row r="83" spans="2:8" hidden="1" x14ac:dyDescent="0.35">
      <c r="B83" s="300" t="s">
        <v>245</v>
      </c>
      <c r="C83" s="79">
        <v>1379544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288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1009309</v>
      </c>
      <c r="D91" s="98"/>
      <c r="E91" s="99">
        <f>C91</f>
        <v>1009309</v>
      </c>
      <c r="F91" s="99">
        <f>C91</f>
        <v>1009309</v>
      </c>
    </row>
    <row r="92" spans="2:8" x14ac:dyDescent="0.35">
      <c r="B92" s="100" t="s">
        <v>97</v>
      </c>
      <c r="C92" s="97">
        <f>C26</f>
        <v>0</v>
      </c>
      <c r="D92" s="101">
        <f>C92/C91</f>
        <v>0</v>
      </c>
      <c r="E92" s="102">
        <f>E91*D92</f>
        <v>0</v>
      </c>
      <c r="F92" s="102">
        <f>F91*D92</f>
        <v>0</v>
      </c>
    </row>
    <row r="93" spans="2:8" x14ac:dyDescent="0.35">
      <c r="B93" s="100" t="s">
        <v>215</v>
      </c>
      <c r="C93" s="97">
        <f>C27+C28</f>
        <v>874963</v>
      </c>
      <c r="D93" s="101">
        <f>C93/C91</f>
        <v>0.8668930922046667</v>
      </c>
      <c r="E93" s="102">
        <f>E91*D93</f>
        <v>874963</v>
      </c>
      <c r="F93" s="102">
        <f>F91*D93</f>
        <v>874963</v>
      </c>
    </row>
    <row r="94" spans="2:8" x14ac:dyDescent="0.35">
      <c r="B94" s="100" t="s">
        <v>221</v>
      </c>
      <c r="C94" s="97">
        <f>C29</f>
        <v>3730</v>
      </c>
      <c r="D94" s="101">
        <f>C94/C91</f>
        <v>3.6955976811858409E-3</v>
      </c>
      <c r="E94" s="103"/>
      <c r="F94" s="102">
        <f>F91*D94</f>
        <v>3730</v>
      </c>
    </row>
    <row r="95" spans="2:8" x14ac:dyDescent="0.35">
      <c r="B95" s="18" t="s">
        <v>214</v>
      </c>
      <c r="C95" s="97">
        <f>ABS(MAX(C34,0)-C33)</f>
        <v>25869</v>
      </c>
      <c r="D95" s="101">
        <f>C95/C91</f>
        <v>2.5630406545468234E-2</v>
      </c>
      <c r="E95" s="102">
        <f>E91*D95</f>
        <v>25869</v>
      </c>
      <c r="F95" s="102">
        <f>F91*D95</f>
        <v>25869</v>
      </c>
    </row>
    <row r="96" spans="2:8" x14ac:dyDescent="0.35">
      <c r="B96" s="18" t="s">
        <v>101</v>
      </c>
      <c r="C96" s="97">
        <f>MAX(C32,0)</f>
        <v>22422</v>
      </c>
      <c r="D96" s="101">
        <f>C96/C91</f>
        <v>2.2215198715160572E-2</v>
      </c>
      <c r="E96" s="103"/>
      <c r="F96" s="102">
        <f>F91*D96</f>
        <v>22422</v>
      </c>
    </row>
    <row r="97" spans="2:6" x14ac:dyDescent="0.35">
      <c r="B97" s="93" t="s">
        <v>150</v>
      </c>
      <c r="C97" s="97">
        <f>MAX(C31,0)/(1-C16)</f>
        <v>225.33333333333334</v>
      </c>
      <c r="D97" s="101">
        <f>C97/C91</f>
        <v>2.2325505205376484E-4</v>
      </c>
      <c r="E97" s="103"/>
      <c r="F97" s="102">
        <f>F91*D97</f>
        <v>225.33333333333334</v>
      </c>
    </row>
    <row r="98" spans="2:6" x14ac:dyDescent="0.35">
      <c r="B98" s="8" t="s">
        <v>180</v>
      </c>
      <c r="C98" s="104">
        <f>C44</f>
        <v>4.548</v>
      </c>
      <c r="D98" s="105"/>
      <c r="E98" s="106">
        <f>F98</f>
        <v>4.548</v>
      </c>
      <c r="F98" s="106">
        <f>C98</f>
        <v>4.548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0941.HK : 中国移动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0941.HK</v>
      </c>
      <c r="D3" s="318"/>
      <c r="E3" s="3"/>
      <c r="F3" s="9" t="s">
        <v>1</v>
      </c>
      <c r="G3" s="10">
        <v>76.05</v>
      </c>
      <c r="H3" s="11" t="s">
        <v>255</v>
      </c>
    </row>
    <row r="4" spans="1:10" ht="15.75" customHeight="1" x14ac:dyDescent="0.35">
      <c r="B4" s="12" t="s">
        <v>168</v>
      </c>
      <c r="C4" s="312" t="str">
        <f>Inputs!C5</f>
        <v>中国移动</v>
      </c>
      <c r="D4" s="319"/>
      <c r="E4" s="3"/>
      <c r="F4" s="9" t="s">
        <v>2</v>
      </c>
      <c r="G4" s="322">
        <f>Inputs!C10</f>
        <v>21481669957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45603</v>
      </c>
      <c r="D5" s="321"/>
      <c r="E5" s="16"/>
      <c r="F5" s="12" t="s">
        <v>91</v>
      </c>
      <c r="G5" s="315">
        <f>G3*G4/1000000</f>
        <v>1633681.0002298499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>Tier 3</v>
      </c>
      <c r="D7" s="123" t="str">
        <f>Inputs!C9</f>
        <v>C0010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>
        <f>C21*C22*C23</f>
        <v>9.7221014093545888E-2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0.13288365274327946</v>
      </c>
      <c r="F21" s="3"/>
      <c r="G21" s="34"/>
    </row>
    <row r="22" spans="1:8" ht="15.75" customHeight="1" x14ac:dyDescent="0.35">
      <c r="B22" s="35" t="s">
        <v>243</v>
      </c>
      <c r="C22" s="36">
        <f>Data!C50</f>
        <v>0.49926073663179837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>
        <f>1/Data!C55</f>
        <v>1.4654168333884241</v>
      </c>
      <c r="F23" s="39" t="s">
        <v>163</v>
      </c>
      <c r="G23" s="40">
        <f>G3/(Data!C36*Data!C4/Common_Shares*Exchange_Rate)</f>
        <v>1.1090836000243451</v>
      </c>
    </row>
    <row r="24" spans="1:8" ht="15.75" customHeight="1" x14ac:dyDescent="0.35">
      <c r="B24" s="41" t="s">
        <v>238</v>
      </c>
      <c r="C24" s="42">
        <f>Fin_Analysis!I81</f>
        <v>3.6955976811858409E-3</v>
      </c>
      <c r="F24" s="39" t="s">
        <v>223</v>
      </c>
      <c r="G24" s="43">
        <f>G3/(Fin_Analysis!H86*G7)</f>
        <v>24.926230516276409</v>
      </c>
    </row>
    <row r="25" spans="1:8" ht="15.75" customHeight="1" x14ac:dyDescent="0.35">
      <c r="B25" s="28" t="s">
        <v>239</v>
      </c>
      <c r="C25" s="44">
        <f>Fin_Analysis!I80</f>
        <v>2.2215198715160572E-2</v>
      </c>
      <c r="F25" s="39" t="s">
        <v>151</v>
      </c>
      <c r="G25" s="44">
        <f>Fin_Analysis!I88</f>
        <v>1.5866671803691612</v>
      </c>
    </row>
    <row r="26" spans="1:8" ht="15.75" customHeight="1" x14ac:dyDescent="0.35">
      <c r="B26" s="45" t="s">
        <v>240</v>
      </c>
      <c r="C26" s="44">
        <f>Fin_Analysis!I80+Fin_Analysis!I82</f>
        <v>4.784560526062881E-2</v>
      </c>
      <c r="F26" s="46" t="s">
        <v>166</v>
      </c>
      <c r="G26" s="47">
        <f>Fin_Analysis!H88*Exchange_Rate/G3</f>
        <v>6.3654517650917758E-2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222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50.188835590307953</v>
      </c>
      <c r="D29" s="54">
        <f>G29*(1+G20)</f>
        <v>87.293593929487074</v>
      </c>
      <c r="E29" s="3"/>
      <c r="F29" s="55">
        <f>IF(Fin_Analysis!C108="Profit",Fin_Analysis!F100,IF(Fin_Analysis!C108="Dividend",Fin_Analysis!F103,Fin_Analysis!F106))</f>
        <v>59.045688929774066</v>
      </c>
      <c r="G29" s="314">
        <f>IF(Fin_Analysis!C108="Profit",Fin_Analysis!I100,IF(Fin_Analysis!C108="Dividend",Fin_Analysis!I103,Fin_Analysis!I106))</f>
        <v>75.907472982162673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134120.66666666666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1009309</v>
      </c>
      <c r="D6" s="142">
        <f>IF(Inputs!D25="","",Inputs!D25)</f>
        <v>937259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7.687309484358118E-2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0</v>
      </c>
      <c r="D8" s="144">
        <f>IF(Inputs!D26="","",Inputs!D26)</f>
        <v>0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1009309</v>
      </c>
      <c r="D9" s="273">
        <f t="shared" si="2"/>
        <v>937259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874963</v>
      </c>
      <c r="D10" s="144">
        <f>IF(Inputs!D27="","",Inputs!D27)</f>
        <v>808160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225.33333333333334</v>
      </c>
      <c r="D12" s="144">
        <f>IF(Inputs!D31="","",MAX(Inputs!D31,0)/(1-Fin_Analysis!$I$84))</f>
        <v>180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0.13288365274327946</v>
      </c>
      <c r="D13" s="292">
        <f t="shared" si="3"/>
        <v>0.1375489592524585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134120.66666666666</v>
      </c>
      <c r="D14" s="294">
        <f t="shared" ref="D14:M14" si="4">IF(D6="","",D9-D10-MAX(D11,0)-MAX(D12,0))</f>
        <v>128919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4.0348332415444249E-2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-128784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135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22422</v>
      </c>
      <c r="D18" s="144">
        <f>IF(Inputs!D32="","",Inputs!D32)</f>
        <v>22811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3730</v>
      </c>
      <c r="D19" s="144">
        <f>IF(Inputs!D29="","",Inputs!D29)</f>
        <v>2330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0.20522159219822672</v>
      </c>
      <c r="D20" s="227">
        <f t="shared" si="7"/>
        <v>0.21347034277611632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207132</v>
      </c>
      <c r="D21" s="144">
        <f>IF(Inputs!D33="","",Inputs!D33)</f>
        <v>200077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0.17959118565275847</v>
      </c>
      <c r="D22" s="227">
        <f t="shared" si="8"/>
        <v>0.20227919923948451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181263</v>
      </c>
      <c r="D23" s="144">
        <f>IF(Inputs!D34="","",Inputs!D34)</f>
        <v>189588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82099.666666666657</v>
      </c>
      <c r="D24" s="309">
        <f t="shared" si="9"/>
        <v>93289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6.1006837351098617E-2</v>
      </c>
      <c r="D25" s="143">
        <f t="shared" si="10"/>
        <v>7.4650390126955304E-2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61574.749999999993</v>
      </c>
      <c r="D26" s="276">
        <f>IF(D6="","",D24*(1-Fin_Analysis!$I$84))</f>
        <v>69966.75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-0.11994268706206887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2021607</v>
      </c>
      <c r="D29" s="147">
        <f>IF(D36="","",D36+D32)</f>
        <v>1904550</v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100939</v>
      </c>
      <c r="D30" s="144">
        <f>IF(Inputs!D35="","",Inputs!D35)</f>
        <v>68428</v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12616</v>
      </c>
      <c r="D31" s="144">
        <f>IF(Inputs!D36="","",Inputs!D36)</f>
        <v>12026</v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637738</v>
      </c>
      <c r="D32" s="144">
        <f>IF(Inputs!D37="","",Inputs!D37)</f>
        <v>558565</v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33448</v>
      </c>
      <c r="D33" s="144">
        <f>IF(Inputs!D39="","",Inputs!D39)</f>
        <v>35175</v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62222</v>
      </c>
      <c r="D34" s="144">
        <f>IF(Inputs!D40="","",Inputs!D40)</f>
        <v>67759</v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95670</v>
      </c>
      <c r="D35" s="97">
        <f t="shared" ref="D35" si="23">IF(OR(D33="",D34=""),"",D33+D34)</f>
        <v>102934</v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1383869</v>
      </c>
      <c r="D36" s="144">
        <f>IF(Inputs!D41="","",Inputs!D41)</f>
        <v>1345985</v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4325</v>
      </c>
      <c r="D37" s="144">
        <f>IF(Inputs!D42="","",Inputs!D42)</f>
        <v>4253</v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>
        <f>IF(Inputs!D43="","",Inputs!D43)</f>
        <v>795161</v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1204108</v>
      </c>
      <c r="D39" s="147">
        <f t="shared" ref="D39:M39" si="33">IF(D38="","",D29-D38)</f>
        <v>1109389</v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0.11138591111982202</v>
      </c>
      <c r="D40" s="148">
        <f>IF(D6="","",D14/MAX(D39,0))</f>
        <v>0.11620720955408788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</v>
      </c>
      <c r="D42" s="150">
        <f t="shared" si="35"/>
        <v>0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0.8668930922046667</v>
      </c>
      <c r="D43" s="146">
        <f t="shared" si="36"/>
        <v>0.86225899137805029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2.2215198715160572E-2</v>
      </c>
      <c r="D44" s="146">
        <f t="shared" si="37"/>
        <v>2.4337989819249534E-2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3.6955976811858409E-3</v>
      </c>
      <c r="D45" s="146">
        <f t="shared" si="38"/>
        <v>2.4859723939700765E-3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2.2325505205376484E-4</v>
      </c>
      <c r="D46" s="146">
        <f t="shared" si="39"/>
        <v>1.9204936949125055E-4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2.5630406545468234E-2</v>
      </c>
      <c r="D47" s="146">
        <f t="shared" si="40"/>
        <v>1.1191143536631816E-2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8.1342449801464822E-2</v>
      </c>
      <c r="D48" s="281">
        <f t="shared" si="41"/>
        <v>9.9533853502607073E-2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>
        <f t="shared" ref="C50:M50" si="42">IF(C6="","",C6/C29)</f>
        <v>0.49926073663179837</v>
      </c>
      <c r="D50" s="153">
        <f t="shared" si="42"/>
        <v>0.49211572287416977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0.10000802529255164</v>
      </c>
      <c r="D51" s="146">
        <f t="shared" si="43"/>
        <v>7.3008634753040522E-2</v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1.2499640843388893E-2</v>
      </c>
      <c r="D52" s="146">
        <f t="shared" si="44"/>
        <v>1.2831031763898772E-2</v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>
        <f t="shared" ref="C53:M53" si="45">IF(D6="","",C18/(C6-D6))</f>
        <v>0.31120055517002082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>
        <f t="shared" ref="C55:M55" si="46">IF(C36="","",(C36-C37)/C29)</f>
        <v>0.68239969489618901</v>
      </c>
      <c r="D55" s="150">
        <f t="shared" si="46"/>
        <v>0.70448767425376069</v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0.85815476812654601</v>
      </c>
      <c r="D56" s="154">
        <f t="shared" si="47"/>
        <v>0.90629918200011661</v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4.5432583973138346E-2</v>
      </c>
      <c r="D57" s="146">
        <f t="shared" si="48"/>
        <v>2.4976149385243705E-2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>
        <f>IF(D36="","",IF(Inputs!D38=0,0,Inputs!D38/D29))</f>
        <v>4.6261321572024887E-2</v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>
        <f t="shared" ref="C60:M60" si="50">IF(C14="","",C14/(C36-C37))</f>
        <v>9.7221014093545874E-2</v>
      </c>
      <c r="D60" s="156">
        <f t="shared" si="50"/>
        <v>9.6084016778313408E-2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>
        <f t="shared" ref="C61:M61" si="51">IF(C24="","",C24/(C36-C37))</f>
        <v>5.9512176970554512E-2</v>
      </c>
      <c r="D61" s="156">
        <f t="shared" si="51"/>
        <v>6.9528788163359001E-2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1383869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1379544</v>
      </c>
      <c r="K3" s="75"/>
    </row>
    <row r="4" spans="1:11" ht="15" customHeight="1" x14ac:dyDescent="0.35">
      <c r="B4" s="9" t="s">
        <v>21</v>
      </c>
      <c r="C4" s="3"/>
      <c r="D4" s="144">
        <f>Inputs!C42</f>
        <v>4325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0.96378562214143304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-24147.936570105318</v>
      </c>
      <c r="E6" s="170">
        <f>1-D6/D3</f>
        <v>1.0174495827062426</v>
      </c>
      <c r="F6" s="3"/>
      <c r="G6" s="3"/>
      <c r="H6" s="2" t="s">
        <v>24</v>
      </c>
      <c r="I6" s="168">
        <f>(C24+C25)/I28</f>
        <v>0.9401087946883655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>
        <f>C24/I28</f>
        <v>0.81220016057590816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172891</v>
      </c>
      <c r="D11" s="258">
        <f>Inputs!D48</f>
        <v>0.9</v>
      </c>
      <c r="E11" s="176">
        <f t="shared" ref="E11:E22" si="0">C11*D11</f>
        <v>155601.9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33448</v>
      </c>
      <c r="J12" s="3"/>
      <c r="K12" s="75"/>
    </row>
    <row r="13" spans="1:11" ht="11.65" x14ac:dyDescent="0.35">
      <c r="B13" s="9" t="s">
        <v>105</v>
      </c>
      <c r="C13" s="175">
        <f>Inputs!C50</f>
        <v>100939</v>
      </c>
      <c r="D13" s="258">
        <f>Inputs!D50</f>
        <v>0.6</v>
      </c>
      <c r="E13" s="176">
        <f t="shared" si="0"/>
        <v>60563.399999999994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176336</v>
      </c>
      <c r="D14" s="258">
        <f>Inputs!D51</f>
        <v>0.6</v>
      </c>
      <c r="E14" s="176">
        <f t="shared" si="0"/>
        <v>105801.59999999999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19344</v>
      </c>
      <c r="D15" s="258">
        <f>Inputs!D52</f>
        <v>0.5</v>
      </c>
      <c r="E15" s="176">
        <f t="shared" si="0"/>
        <v>9672</v>
      </c>
      <c r="F15" s="260"/>
      <c r="G15" s="3"/>
      <c r="H15" s="2" t="s">
        <v>46</v>
      </c>
      <c r="I15" s="180">
        <f>SUM(I11:I14)</f>
        <v>33448</v>
      </c>
      <c r="J15" s="3"/>
    </row>
    <row r="16" spans="1:11" ht="11.65" x14ac:dyDescent="0.35">
      <c r="B16" s="2" t="s">
        <v>141</v>
      </c>
      <c r="C16" s="175">
        <f>Inputs!C53</f>
        <v>22728</v>
      </c>
      <c r="D16" s="258">
        <f>Inputs!D53</f>
        <v>0.6</v>
      </c>
      <c r="E16" s="176">
        <f t="shared" si="0"/>
        <v>13636.8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28822</v>
      </c>
      <c r="D17" s="258">
        <f>Inputs!D54</f>
        <v>0.1</v>
      </c>
      <c r="E17" s="176">
        <f t="shared" si="0"/>
        <v>2882.2000000000003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12616</v>
      </c>
      <c r="D18" s="258">
        <f>Inputs!D55</f>
        <v>0.5</v>
      </c>
      <c r="E18" s="176">
        <f t="shared" si="0"/>
        <v>6308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507</v>
      </c>
      <c r="D21" s="258">
        <f>Inputs!D58</f>
        <v>0.9</v>
      </c>
      <c r="E21" s="176">
        <f t="shared" si="0"/>
        <v>456.3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520807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450166</v>
      </c>
      <c r="D24" s="185">
        <f>IF(E24=0,0,E24/C24)</f>
        <v>0.71521816396618132</v>
      </c>
      <c r="E24" s="176">
        <f>SUM(E11:E14)</f>
        <v>321966.89999999997</v>
      </c>
      <c r="F24" s="186">
        <f>E24/$E$28</f>
        <v>0.90714782000111571</v>
      </c>
      <c r="G24" s="3"/>
    </row>
    <row r="25" spans="2:10" ht="15" customHeight="1" x14ac:dyDescent="0.35">
      <c r="B25" s="183" t="s">
        <v>47</v>
      </c>
      <c r="C25" s="184">
        <f>SUM(C15:C17)</f>
        <v>70894</v>
      </c>
      <c r="D25" s="185">
        <f>IF(E25=0,0,E25/C25)</f>
        <v>0.36943888058227775</v>
      </c>
      <c r="E25" s="176">
        <f>SUM(E15:E17)</f>
        <v>26191</v>
      </c>
      <c r="F25" s="186">
        <f>E25/$E$28</f>
        <v>7.3793637028058551E-2</v>
      </c>
      <c r="G25" s="3"/>
      <c r="H25" s="183" t="s">
        <v>48</v>
      </c>
      <c r="I25" s="168">
        <f>E28/I28</f>
        <v>0.64035904051384285</v>
      </c>
    </row>
    <row r="26" spans="2:10" ht="15" customHeight="1" x14ac:dyDescent="0.35">
      <c r="B26" s="183" t="s">
        <v>49</v>
      </c>
      <c r="C26" s="184">
        <f>C18+C19+C20</f>
        <v>12616</v>
      </c>
      <c r="D26" s="185">
        <f>IF(E26=0,0,E26/C26)</f>
        <v>0.5</v>
      </c>
      <c r="E26" s="176">
        <f>E18+E19+E20</f>
        <v>6308</v>
      </c>
      <c r="F26" s="186">
        <f>E26/$E$28</f>
        <v>1.7772909105150371E-2</v>
      </c>
      <c r="G26" s="3"/>
      <c r="H26" s="183" t="s">
        <v>50</v>
      </c>
      <c r="I26" s="168">
        <f>E24/($I$28-I22)</f>
        <v>9.6258939248983495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507</v>
      </c>
      <c r="D27" s="185">
        <f>IF(E27=0,0,E27/C27)</f>
        <v>0.9</v>
      </c>
      <c r="E27" s="176">
        <f>E21+E22</f>
        <v>456.3</v>
      </c>
      <c r="F27" s="186">
        <f>E27/$E$28</f>
        <v>1.2856338656753511E-3</v>
      </c>
      <c r="G27" s="3"/>
      <c r="H27" s="183" t="s">
        <v>52</v>
      </c>
      <c r="I27" s="168">
        <f>(E25+E24)/$I$28</f>
        <v>0.62815473022345303</v>
      </c>
      <c r="J27" s="187" t="str">
        <f>IF(OR(I27&lt;0.75,C28&lt;I28),"Liquidity Issue!","")</f>
        <v>Liquidity Issue!</v>
      </c>
    </row>
    <row r="28" spans="2:10" ht="15" customHeight="1" x14ac:dyDescent="0.35">
      <c r="B28" s="188" t="s">
        <v>14</v>
      </c>
      <c r="C28" s="189">
        <f>SUM(C11:C22)</f>
        <v>534183</v>
      </c>
      <c r="D28" s="190">
        <f>E28/C28</f>
        <v>0.66442061989992185</v>
      </c>
      <c r="E28" s="191">
        <f>SUM(E24:E27)</f>
        <v>354922.19999999995</v>
      </c>
      <c r="F28" s="87"/>
      <c r="G28" s="3"/>
      <c r="H28" s="188" t="s">
        <v>15</v>
      </c>
      <c r="I28" s="161">
        <f>Inputs!C77</f>
        <v>554255</v>
      </c>
      <c r="J28" s="192">
        <f>IF(J26="",1,0)+IF(J27="",1,0)+IF(J46="",1,0)+IF(J47="",1,0)</f>
        <v>3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75495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182795</v>
      </c>
      <c r="D31" s="258">
        <f>Inputs!D61</f>
        <v>0.6</v>
      </c>
      <c r="E31" s="176">
        <f t="shared" ref="E31:E42" si="1">C31*D31</f>
        <v>109677</v>
      </c>
      <c r="F31" s="260"/>
      <c r="G31" s="3"/>
      <c r="H31" s="9" t="s">
        <v>56</v>
      </c>
      <c r="I31" s="175">
        <f>Inputs!C79</f>
        <v>62222</v>
      </c>
      <c r="J31" s="3"/>
    </row>
    <row r="32" spans="2:10" ht="15" customHeight="1" x14ac:dyDescent="0.35">
      <c r="B32" s="9" t="s">
        <v>57</v>
      </c>
      <c r="C32" s="175">
        <f>Inputs!C62</f>
        <v>5625</v>
      </c>
      <c r="D32" s="258">
        <f>Inputs!D62</f>
        <v>0.5</v>
      </c>
      <c r="E32" s="176">
        <f t="shared" si="1"/>
        <v>2812.5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62222</v>
      </c>
      <c r="J34" s="3"/>
    </row>
    <row r="35" spans="2:10" ht="11.65" x14ac:dyDescent="0.35">
      <c r="B35" s="9" t="s">
        <v>62</v>
      </c>
      <c r="C35" s="175">
        <f>Inputs!C65</f>
        <v>185013</v>
      </c>
      <c r="D35" s="258">
        <f>Inputs!D65</f>
        <v>0.1</v>
      </c>
      <c r="E35" s="176">
        <f t="shared" si="1"/>
        <v>18501.3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94862</v>
      </c>
      <c r="D37" s="258">
        <f>Inputs!D67</f>
        <v>0.1</v>
      </c>
      <c r="E37" s="176">
        <f t="shared" si="1"/>
        <v>9486.2000000000007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781712</v>
      </c>
      <c r="D38" s="258">
        <f>Inputs!D68</f>
        <v>0.1</v>
      </c>
      <c r="E38" s="176">
        <f t="shared" si="1"/>
        <v>78171.199999999997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34291</v>
      </c>
      <c r="D40" s="258">
        <f>Inputs!D70</f>
        <v>0.05</v>
      </c>
      <c r="E40" s="176">
        <f t="shared" si="1"/>
        <v>1714.5500000000002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47891</v>
      </c>
      <c r="D41" s="258">
        <f>Inputs!D71</f>
        <v>0.9</v>
      </c>
      <c r="E41" s="176">
        <f t="shared" si="1"/>
        <v>43101.9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79740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21261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258290</v>
      </c>
      <c r="D44" s="185">
        <f>IF(E44=0,0,E44/C44)</f>
        <v>0.42462735684695496</v>
      </c>
      <c r="E44" s="176">
        <f>SUM(E30:E31)</f>
        <v>109677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190638</v>
      </c>
      <c r="D45" s="185">
        <f>IF(E45=0,0,E45/C45)</f>
        <v>0.11180247379850816</v>
      </c>
      <c r="E45" s="176">
        <f>SUM(E32:E35)</f>
        <v>21313.8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876574</v>
      </c>
      <c r="D46" s="185">
        <f>IF(E46=0,0,E46/C46)</f>
        <v>9.9999999999999992E-2</v>
      </c>
      <c r="E46" s="176">
        <f>E36+E37+E38+E39</f>
        <v>87657.4</v>
      </c>
      <c r="F46" s="3"/>
      <c r="G46" s="3"/>
      <c r="H46" s="183" t="s">
        <v>73</v>
      </c>
      <c r="I46" s="168">
        <f>(E44+E24)/E64</f>
        <v>4.5117999372844144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161922</v>
      </c>
      <c r="D47" s="185">
        <f>IF(E47=0,0,E47/C47)</f>
        <v>0.27677801657588225</v>
      </c>
      <c r="E47" s="176">
        <f>E40+E41+E42</f>
        <v>44816.450000000004</v>
      </c>
      <c r="F47" s="3"/>
      <c r="G47" s="3"/>
      <c r="H47" s="183" t="s">
        <v>75</v>
      </c>
      <c r="I47" s="168">
        <f>(E44+E45+E24+E25)/$I$49</f>
        <v>0.75132530913948981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1487424</v>
      </c>
      <c r="D48" s="195">
        <f>E48/C48</f>
        <v>0.17712814234542404</v>
      </c>
      <c r="E48" s="196">
        <f>SUM(E30:E42)</f>
        <v>263464.65000000002</v>
      </c>
      <c r="F48" s="3"/>
      <c r="G48" s="3"/>
      <c r="H48" s="91" t="s">
        <v>77</v>
      </c>
      <c r="I48" s="197">
        <f>I49-I28</f>
        <v>83483</v>
      </c>
      <c r="J48" s="187"/>
    </row>
    <row r="49" spans="2:11" ht="15" customHeight="1" thickTop="1" x14ac:dyDescent="0.35">
      <c r="B49" s="9" t="s">
        <v>13</v>
      </c>
      <c r="C49" s="184">
        <f>Inputs!C41+Inputs!C37</f>
        <v>2021607</v>
      </c>
      <c r="D49" s="170">
        <f>E49/C49</f>
        <v>0.30588875582642916</v>
      </c>
      <c r="E49" s="176">
        <f>E28+E48</f>
        <v>618386.85</v>
      </c>
      <c r="F49" s="3"/>
      <c r="G49" s="3"/>
      <c r="H49" s="9" t="s">
        <v>78</v>
      </c>
      <c r="I49" s="175">
        <f>Inputs!C37</f>
        <v>637738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4325</v>
      </c>
      <c r="D53" s="34">
        <f>IF(E53=0, 0,E53/C53)</f>
        <v>1.1090836000243451</v>
      </c>
      <c r="E53" s="176">
        <f>IF(C53=0,0,MAX(C53,C53*Dashboard!G23))</f>
        <v>4796.7865701052924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95670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569113</v>
      </c>
      <c r="D61" s="170">
        <f t="shared" ref="D61:D70" si="2">IF(E61=0,0,E61/C61)</f>
        <v>0.43306759817470336</v>
      </c>
      <c r="E61" s="182">
        <f>E14+E15+(E19*G19)+(E20*G20)+E31+E32+(E35*G35)+(E36*G36)+(E37*G37)</f>
        <v>246464.39999999997</v>
      </c>
      <c r="F61" s="3"/>
      <c r="G61" s="3"/>
      <c r="H61" s="2" t="s">
        <v>252</v>
      </c>
      <c r="I61" s="203">
        <f>C99*Data!$C$4/Common_Shares</f>
        <v>-0.95884130318038419</v>
      </c>
      <c r="K61" s="172"/>
    </row>
    <row r="62" spans="2:11" ht="11.65" x14ac:dyDescent="0.35">
      <c r="B62" s="12" t="s">
        <v>127</v>
      </c>
      <c r="C62" s="204">
        <f>C11+C30</f>
        <v>248386</v>
      </c>
      <c r="D62" s="205">
        <f t="shared" si="2"/>
        <v>0.62645197394378105</v>
      </c>
      <c r="E62" s="206">
        <f>E11+E30</f>
        <v>155601.9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817499</v>
      </c>
      <c r="D63" s="34">
        <f t="shared" si="2"/>
        <v>0.49182482180406328</v>
      </c>
      <c r="E63" s="184">
        <f>E61+E62</f>
        <v>402066.29999999993</v>
      </c>
      <c r="F63" s="3"/>
      <c r="G63" s="3"/>
      <c r="H63" s="2" t="s">
        <v>253</v>
      </c>
      <c r="I63" s="207">
        <f>IF(I61&gt;0,FV(I62,D93,0,-I61),I61)</f>
        <v>-0.95884130318038419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95670</v>
      </c>
      <c r="F64" s="3"/>
      <c r="G64" s="3"/>
      <c r="H64" s="2" t="s">
        <v>254</v>
      </c>
      <c r="I64" s="207">
        <f>IF(I61&gt;0,PV(C94,D93,0,-I63),I61)</f>
        <v>-0.95884130318038419</v>
      </c>
      <c r="K64" s="172"/>
    </row>
    <row r="65" spans="1:11" ht="12" thickTop="1" x14ac:dyDescent="0.35">
      <c r="B65" s="9" t="s">
        <v>130</v>
      </c>
      <c r="C65" s="202">
        <f>C63-E64</f>
        <v>721829</v>
      </c>
      <c r="D65" s="34">
        <f t="shared" si="2"/>
        <v>0.42447213952334961</v>
      </c>
      <c r="E65" s="184">
        <f>E63-E64</f>
        <v>306396.29999999993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1204108</v>
      </c>
      <c r="D68" s="34">
        <f t="shared" si="2"/>
        <v>0.17965211592315644</v>
      </c>
      <c r="E68" s="202">
        <f>E49-E63</f>
        <v>216320.55000000005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542068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662040</v>
      </c>
      <c r="D70" s="34">
        <f t="shared" si="2"/>
        <v>-0.49203590417497423</v>
      </c>
      <c r="E70" s="202">
        <f>E68-E69</f>
        <v>-325747.44999999995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1009309</v>
      </c>
      <c r="D74" s="98"/>
      <c r="E74" s="256">
        <f>Inputs!E91</f>
        <v>1009309</v>
      </c>
      <c r="F74" s="98"/>
      <c r="H74" s="256">
        <f>Inputs!F91</f>
        <v>1009309</v>
      </c>
      <c r="I74" s="98"/>
      <c r="K74" s="75"/>
    </row>
    <row r="75" spans="1:11" ht="15" customHeight="1" x14ac:dyDescent="0.35">
      <c r="B75" s="100" t="s">
        <v>97</v>
      </c>
      <c r="C75" s="97">
        <f>Data!C8</f>
        <v>0</v>
      </c>
      <c r="D75" s="101">
        <f>C75/$C$74</f>
        <v>0</v>
      </c>
      <c r="E75" s="256">
        <f>Inputs!E92</f>
        <v>0</v>
      </c>
      <c r="F75" s="211">
        <f>E75/E74</f>
        <v>0</v>
      </c>
      <c r="H75" s="256">
        <f>Inputs!F92</f>
        <v>0</v>
      </c>
      <c r="I75" s="211">
        <f>H75/$H$74</f>
        <v>0</v>
      </c>
      <c r="K75" s="75"/>
    </row>
    <row r="76" spans="1:11" ht="15" customHeight="1" x14ac:dyDescent="0.35">
      <c r="B76" s="12" t="s">
        <v>87</v>
      </c>
      <c r="C76" s="145">
        <f>C74-C75</f>
        <v>1009309</v>
      </c>
      <c r="D76" s="212"/>
      <c r="E76" s="213">
        <f>E74-E75</f>
        <v>1009309</v>
      </c>
      <c r="F76" s="212"/>
      <c r="H76" s="213">
        <f>H74-H75</f>
        <v>1009309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874963</v>
      </c>
      <c r="D77" s="101">
        <f>C77/$C$74</f>
        <v>0.8668930922046667</v>
      </c>
      <c r="E77" s="256">
        <f>Inputs!E93</f>
        <v>874963</v>
      </c>
      <c r="F77" s="211">
        <f>E77/E74</f>
        <v>0.8668930922046667</v>
      </c>
      <c r="H77" s="256">
        <f>Inputs!F93</f>
        <v>874963</v>
      </c>
      <c r="I77" s="211">
        <f>H77/$H$74</f>
        <v>0.8668930922046667</v>
      </c>
      <c r="K77" s="75"/>
    </row>
    <row r="78" spans="1:11" ht="15" customHeight="1" x14ac:dyDescent="0.35">
      <c r="B78" s="93" t="s">
        <v>150</v>
      </c>
      <c r="C78" s="97">
        <f>MAX(Data!C12,0)</f>
        <v>225.33333333333334</v>
      </c>
      <c r="D78" s="101">
        <f>C78/$C$74</f>
        <v>2.2325505205376484E-4</v>
      </c>
      <c r="E78" s="214">
        <f>E74*F78</f>
        <v>225.33333333333334</v>
      </c>
      <c r="F78" s="211">
        <f>I78</f>
        <v>2.2325505205376484E-4</v>
      </c>
      <c r="H78" s="256">
        <f>Inputs!F97</f>
        <v>225.33333333333334</v>
      </c>
      <c r="I78" s="211">
        <f>H78/$H$74</f>
        <v>2.2325505205376484E-4</v>
      </c>
      <c r="K78" s="75"/>
    </row>
    <row r="79" spans="1:11" ht="15" customHeight="1" x14ac:dyDescent="0.35">
      <c r="B79" s="215" t="s">
        <v>203</v>
      </c>
      <c r="C79" s="216">
        <f>C76-C77-C78</f>
        <v>134120.66666666666</v>
      </c>
      <c r="D79" s="217">
        <f>C79/C74</f>
        <v>0.13288365274327946</v>
      </c>
      <c r="E79" s="218">
        <f>E76-E77-E78</f>
        <v>134120.66666666666</v>
      </c>
      <c r="F79" s="217">
        <f>E79/E74</f>
        <v>0.13288365274327946</v>
      </c>
      <c r="G79" s="219"/>
      <c r="H79" s="218">
        <f>H76-H77-H78</f>
        <v>134120.66666666666</v>
      </c>
      <c r="I79" s="217">
        <f>H79/H74</f>
        <v>0.13288365274327946</v>
      </c>
      <c r="K79" s="75"/>
    </row>
    <row r="80" spans="1:11" ht="15" customHeight="1" x14ac:dyDescent="0.35">
      <c r="B80" s="18" t="s">
        <v>101</v>
      </c>
      <c r="C80" s="97">
        <f>MAX(Data!C18,0)</f>
        <v>22422</v>
      </c>
      <c r="D80" s="101">
        <f>C80/$C$74</f>
        <v>2.2215198715160572E-2</v>
      </c>
      <c r="E80" s="214">
        <f>E74*F80</f>
        <v>22422</v>
      </c>
      <c r="F80" s="211">
        <f>I80</f>
        <v>2.2215198715160572E-2</v>
      </c>
      <c r="H80" s="256">
        <f>Inputs!F96</f>
        <v>22422</v>
      </c>
      <c r="I80" s="211">
        <f>H80/$H$74</f>
        <v>2.2215198715160572E-2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3730</v>
      </c>
      <c r="D81" s="101">
        <f>C81/$C$74</f>
        <v>3.6955976811858409E-3</v>
      </c>
      <c r="E81" s="214">
        <f>E74*F81</f>
        <v>3730</v>
      </c>
      <c r="F81" s="211">
        <f>I81</f>
        <v>3.6955976811858409E-3</v>
      </c>
      <c r="H81" s="256">
        <f>Inputs!F94</f>
        <v>3730</v>
      </c>
      <c r="I81" s="211">
        <f>H81/$H$74</f>
        <v>3.6955976811858409E-3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25869</v>
      </c>
      <c r="D82" s="101">
        <f>C82/$C$74</f>
        <v>2.5630406545468234E-2</v>
      </c>
      <c r="E82" s="256">
        <f>Inputs!E95</f>
        <v>25869</v>
      </c>
      <c r="F82" s="211">
        <f>E82/E74</f>
        <v>2.5630406545468234E-2</v>
      </c>
      <c r="H82" s="256">
        <f>Inputs!F95</f>
        <v>25869</v>
      </c>
      <c r="I82" s="211">
        <f>H82/$H$74</f>
        <v>2.5630406545468234E-2</v>
      </c>
      <c r="K82" s="75"/>
    </row>
    <row r="83" spans="1:11" ht="15" customHeight="1" thickBot="1" x14ac:dyDescent="0.4">
      <c r="B83" s="221" t="s">
        <v>113</v>
      </c>
      <c r="C83" s="222">
        <f>C79-C81-C82-C80</f>
        <v>82099.666666666657</v>
      </c>
      <c r="D83" s="223">
        <f>C83/$C$74</f>
        <v>8.1342449801464822E-2</v>
      </c>
      <c r="E83" s="224">
        <f>E79-E81-E82-E80</f>
        <v>82099.666666666657</v>
      </c>
      <c r="F83" s="223">
        <f>E83/E74</f>
        <v>8.1342449801464822E-2</v>
      </c>
      <c r="H83" s="224">
        <f>H79-H81-H82-H80</f>
        <v>82099.666666666657</v>
      </c>
      <c r="I83" s="223">
        <f>H83/$H$74</f>
        <v>8.1342449801464822E-2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61574.749999999993</v>
      </c>
      <c r="D85" s="217">
        <f>C85/$C$74</f>
        <v>6.1006837351098617E-2</v>
      </c>
      <c r="E85" s="229">
        <f>E83*(1-F84)</f>
        <v>61574.749999999993</v>
      </c>
      <c r="F85" s="217">
        <f>E85/E74</f>
        <v>6.1006837351098617E-2</v>
      </c>
      <c r="G85" s="219"/>
      <c r="H85" s="229">
        <f>H83*(1-I84)</f>
        <v>61574.749999999993</v>
      </c>
      <c r="I85" s="217">
        <f>H85/$H$74</f>
        <v>6.1006837351098617E-2</v>
      </c>
      <c r="K85" s="75"/>
    </row>
    <row r="86" spans="1:11" ht="15" customHeight="1" x14ac:dyDescent="0.35">
      <c r="B86" s="3" t="s">
        <v>143</v>
      </c>
      <c r="C86" s="230">
        <f>C85*Data!C4/Common_Shares</f>
        <v>2.8663856265948864</v>
      </c>
      <c r="D86" s="98"/>
      <c r="E86" s="231">
        <f>E85*Data!C4/Common_Shares</f>
        <v>2.8663856265948864</v>
      </c>
      <c r="F86" s="98"/>
      <c r="H86" s="231">
        <f>H85*Data!C4/Common_Shares</f>
        <v>2.8663856265948864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4.0118380488658997E-2</v>
      </c>
      <c r="D87" s="98"/>
      <c r="E87" s="233">
        <f>E86*Exchange_Rate/Dashboard!G3</f>
        <v>4.0118380488658997E-2</v>
      </c>
      <c r="F87" s="98"/>
      <c r="H87" s="233">
        <f>H86*Exchange_Rate/Dashboard!G3</f>
        <v>4.0118380488658997E-2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4.548</v>
      </c>
      <c r="D88" s="235">
        <f>C88/C86</f>
        <v>1.5866671803691612</v>
      </c>
      <c r="E88" s="255">
        <f>Inputs!E98</f>
        <v>4.548</v>
      </c>
      <c r="F88" s="235">
        <f>E88/E86</f>
        <v>1.5866671803691612</v>
      </c>
      <c r="H88" s="255">
        <f>Inputs!F98</f>
        <v>4.548</v>
      </c>
      <c r="I88" s="235">
        <f>H88/H86</f>
        <v>1.5866671803691612</v>
      </c>
      <c r="K88" s="75"/>
    </row>
    <row r="89" spans="1:11" ht="15" customHeight="1" x14ac:dyDescent="0.35">
      <c r="B89" s="3" t="s">
        <v>193</v>
      </c>
      <c r="C89" s="232">
        <f>C88*Exchange_Rate/Dashboard!G3</f>
        <v>6.3654517650917758E-2</v>
      </c>
      <c r="D89" s="98"/>
      <c r="E89" s="232">
        <f>E88*Exchange_Rate/Dashboard!G3</f>
        <v>6.3654517650917758E-2</v>
      </c>
      <c r="F89" s="98"/>
      <c r="H89" s="232">
        <f>H88*Exchange_Rate/Dashboard!G3</f>
        <v>6.3654517650917758E-2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59.514452865191828</v>
      </c>
      <c r="H93" s="3" t="s">
        <v>182</v>
      </c>
      <c r="I93" s="237">
        <f>FV(H87,D93,0,-(H86/(C93-D94)))*Exchange_Rate</f>
        <v>59.514452865191828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103.27127897373062</v>
      </c>
      <c r="H94" s="3" t="s">
        <v>183</v>
      </c>
      <c r="I94" s="237">
        <f>FV(H89,D93,0,-(H88/(C93-D94)))*Exchange_Rate</f>
        <v>103.27127897373062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730969.27705174533</v>
      </c>
      <c r="D97" s="244"/>
      <c r="E97" s="245">
        <f>PV(C94,D93,0,-F93)</f>
        <v>34.027581585367031</v>
      </c>
      <c r="F97" s="244"/>
      <c r="H97" s="245">
        <f>PV(C94,D93,0,-I93)</f>
        <v>34.027581585367031</v>
      </c>
      <c r="I97" s="245">
        <f>PV(C93,D93,0,-I93)</f>
        <v>43.744899528763405</v>
      </c>
      <c r="K97" s="75"/>
    </row>
    <row r="98" spans="2:11" ht="15" customHeight="1" x14ac:dyDescent="0.35">
      <c r="B98" s="18" t="s">
        <v>132</v>
      </c>
      <c r="C98" s="243">
        <f>-E53*Exchange_Rate</f>
        <v>-5105.7363999006411</v>
      </c>
      <c r="D98" s="244"/>
      <c r="E98" s="244"/>
      <c r="F98" s="244"/>
      <c r="H98" s="245">
        <f>C98*Data!$C$4/Common_Shares</f>
        <v>-0.23767874704903424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-20597.512416060788</v>
      </c>
      <c r="D99" s="248"/>
      <c r="E99" s="249">
        <f>IF(H99&gt;0,I64,H99)</f>
        <v>-0.95884130318038419</v>
      </c>
      <c r="F99" s="248"/>
      <c r="H99" s="249">
        <f>I64</f>
        <v>-0.95884130318038419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27.906402304866972</v>
      </c>
      <c r="E100" s="251">
        <f>MAX(E97+H98+E99,0)</f>
        <v>32.831061535137614</v>
      </c>
      <c r="F100" s="251">
        <f>(E100+H100)/2</f>
        <v>32.831061535137614</v>
      </c>
      <c r="H100" s="251">
        <f>MAX(H97+H98+H99,0)</f>
        <v>32.831061535137614</v>
      </c>
      <c r="I100" s="251">
        <f>MAX(I97+H98+H99,0)</f>
        <v>42.548379478533988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50.188835590307953</v>
      </c>
      <c r="E103" s="245">
        <f>PV(C94,D93,0,-F94)</f>
        <v>59.045688929774066</v>
      </c>
      <c r="F103" s="251">
        <f>(E103+H103)/2</f>
        <v>59.045688929774066</v>
      </c>
      <c r="H103" s="245">
        <f>PV(C94,D93,0,-I94)</f>
        <v>59.045688929774066</v>
      </c>
      <c r="I103" s="251">
        <f>PV(C93,D93,0,-I94)</f>
        <v>75.907472982162673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39.047618947587466</v>
      </c>
      <c r="E106" s="245">
        <f>(E100+E103)/2</f>
        <v>45.93837523245584</v>
      </c>
      <c r="F106" s="251">
        <f>(F100+F103)/2</f>
        <v>45.93837523245584</v>
      </c>
      <c r="H106" s="245">
        <f>(H100+H103)/2</f>
        <v>45.93837523245584</v>
      </c>
      <c r="I106" s="245">
        <f>(I100+I103)/2</f>
        <v>59.227926230348331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