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0EF253F-197B-4582-8395-F2E45BF5D23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F44" i="4"/>
  <c r="E44" i="4"/>
  <c r="D44" i="4"/>
  <c r="C44" i="4"/>
  <c r="D34" i="4"/>
  <c r="C34" i="4"/>
  <c r="D33" i="4"/>
  <c r="C33" i="4"/>
  <c r="D32" i="4"/>
  <c r="C32" i="4"/>
  <c r="F96" i="4" l="1"/>
  <c r="F97" i="4"/>
  <c r="F95" i="4"/>
  <c r="E92" i="4"/>
  <c r="D5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<sst xmlns="http://schemas.openxmlformats.org/spreadsheetml/2006/main" count="405" uniqueCount="289">
  <si>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</si>
  <si>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</si>
  <si>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</si>
  <si>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</si>
  <si>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</si>
  <si>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</si>
  <si>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</si>
  <si>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</si>
  <si>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</si>
  <si>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</si>
  <si>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</si>
  <si>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</si>
  <si>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</si>
  <si>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</si>
  <si>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</si>
  <si>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</si>
  <si>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</si>
  <si>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</si>
  <si>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</si>
  <si>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</si>
  <si>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</si>
  <si>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</si>
  <si>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</si>
  <si>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</si>
  <si>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</si>
  <si>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</si>
  <si>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</si>
  <si>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</si>
  <si>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</si>
  <si>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</si>
  <si>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</si>
  <si>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</si>
  <si>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</si>
  <si>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</si>
  <si>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</si>
  <si>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</si>
  <si>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</si>
  <si>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</si>
  <si>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</si>
  <si>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</si>
  <si>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</si>
  <si>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</si>
  <si>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</si>
  <si>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</si>
  <si>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</si>
  <si>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</si>
  <si>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</si>
  <si>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</si>
  <si>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</si>
  <si>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</si>
  <si>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</si>
  <si>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</si>
  <si>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</si>
  <si>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</si>
  <si>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</si>
  <si>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</si>
  <si>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</si>
  <si>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</si>
  <si>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</si>
  <si>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</si>
  <si>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</si>
  <si>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</si>
  <si>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</si>
  <si>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</si>
  <si>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</si>
  <si>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</si>
  <si>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</si>
  <si>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</si>
  <si>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</si>
  <si>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</si>
  <si>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</si>
  <si>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</si>
  <si>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</si>
  <si>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</si>
  <si>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</si>
  <si>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</si>
  <si>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</si>
  <si>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</si>
  <si>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</si>
  <si>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</si>
  <si>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</si>
  <si>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</si>
  <si>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</si>
  <si>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</si>
  <si>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</si>
  <si>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</si>
  <si>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</si>
  <si>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</si>
  <si>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</si>
  <si>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</si>
  <si>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</si>
  <si>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</si>
  <si>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</si>
  <si>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</si>
  <si>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</si>
  <si>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</si>
  <si>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</si>
  <si>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</si>
  <si>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</si>
  <si>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</si>
  <si>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</si>
  <si>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</si>
  <si>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</si>
  <si>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</si>
  <si>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</si>
  <si>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</si>
  <si>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</si>
  <si>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</si>
  <si>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</si>
  <si>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</si>
  <si>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</si>
  <si>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</si>
  <si>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</si>
  <si>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</si>
  <si>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</si>
  <si>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</si>
  <si>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</si>
  <si>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</si>
  <si>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</si>
  <si>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</si>
  <si>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</si>
  <si>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</si>
  <si>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</si>
  <si>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</si>
  <si>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</si>
  <si>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</si>
  <si>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</si>
  <si>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</si>
  <si>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</si>
  <si>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</si>
  <si>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</si>
  <si>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</si>
  <si>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</si>
  <si>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</si>
  <si>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</si>
  <si>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</si>
  <si>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</si>
  <si>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</si>
  <si>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</si>
  <si>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</si>
  <si>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</si>
  <si>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</si>
  <si>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</si>
  <si>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</si>
  <si>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</si>
  <si>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</si>
  <si>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</si>
  <si>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</si>
  <si>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</si>
  <si>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</si>
  <si>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</si>
  <si>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</si>
  <si>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</si>
  <si>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</si>
  <si>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</si>
  <si>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</si>
  <si>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</si>
  <si>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</si>
  <si>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</si>
  <si>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</si>
  <si>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</si>
  <si>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</si>
  <si>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</si>
  <si>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</si>
  <si>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</si>
  <si>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</si>
  <si>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</si>
  <si>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</si>
  <si>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</si>
  <si>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</si>
  <si>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</si>
  <si>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</si>
  <si>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</si>
  <si>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</si>
  <si>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</si>
  <si>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</si>
  <si>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</si>
  <si>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</si>
  <si>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</si>
  <si>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</si>
  <si>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</si>
  <si>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</si>
  <si>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</si>
  <si>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</si>
  <si>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</si>
  <si>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</si>
  <si>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</si>
  <si>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</si>
  <si>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</si>
  <si>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</si>
  <si>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</si>
  <si>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</si>
  <si>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</si>
  <si>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</si>
  <si>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</si>
  <si>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</si>
  <si>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</si>
  <si>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</si>
  <si>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</si>
  <si>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</si>
  <si>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</si>
  <si>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</si>
  <si>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</si>
  <si>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</si>
  <si>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</si>
  <si>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</si>
  <si>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</si>
  <si>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</si>
  <si>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</si>
  <si>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</si>
  <si>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</si>
  <si>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</si>
  <si>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</si>
  <si>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</si>
  <si>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</si>
  <si>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</si>
  <si>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</si>
  <si>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</si>
  <si>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</si>
  <si>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</si>
  <si>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</si>
  <si>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</si>
  <si>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</si>
  <si>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</si>
  <si>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</si>
  <si>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</si>
  <si>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</si>
  <si>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</si>
  <si>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</si>
  <si>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</si>
  <si>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</si>
  <si>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</si>
  <si>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</si>
  <si>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</si>
  <si>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</si>
  <si>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</si>
  <si>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</si>
  <si>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</si>
  <si>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</si>
  <si>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</si>
  <si>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</si>
  <si>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</si>
  <si>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</si>
  <si>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</si>
  <si>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</si>
  <si>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</si>
  <si>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</si>
  <si>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</si>
  <si>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</si>
  <si>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</si>
  <si>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</si>
  <si>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</si>
  <si>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</si>
  <si>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</si>
  <si>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</si>
  <si>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</si>
  <si>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</si>
  <si>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</si>
  <si>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</si>
  <si>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</si>
  <si>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</si>
  <si>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</si>
  <si>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</si>
  <si>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</si>
  <si>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</si>
  <si>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</si>
  <si>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</si>
  <si>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</si>
  <si>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</si>
  <si>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</si>
  <si>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</si>
  <si>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</si>
  <si>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</si>
  <si>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</si>
  <si>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</si>
  <si>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</si>
  <si>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</si>
  <si>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</si>
  <si>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</si>
  <si>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</si>
  <si>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</si>
  <si>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</si>
  <si>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</si>
  <si>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Unclear</t>
  </si>
  <si>
    <t>1044.HK</t>
  </si>
  <si>
    <t>恒安國際</t>
  </si>
  <si>
    <t>Tier 3</t>
  </si>
  <si>
    <t>C0007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</si>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</sst>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284</v>
      </c>
      <c r="D4" s="66"/>
    </row>
    <row r="5" spans="1:5" x14ac:dyDescent="0.35">
      <c r="B5" s="46" t="s">
        <v>168</v>
      </c>
      <c r="C5" s="67" t="s">
        <v>285</v>
      </c>
    </row>
    <row r="6" spans="1:5" x14ac:dyDescent="0.35">
      <c r="B6" s="46" t="s">
        <v>268</v>
      </c>
      <c r="C6" s="68">
        <v>45637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286</v>
      </c>
    </row>
    <row r="9" spans="1:5" x14ac:dyDescent="0.35">
      <c r="B9" s="39" t="s">
        <v>189</v>
      </c>
      <c r="C9" s="119" t="s">
        <v>287</v>
      </c>
    </row>
    <row r="10" spans="1:5" x14ac:dyDescent="0.35">
      <c r="B10" s="39" t="s">
        <v>190</v>
      </c>
      <c r="C10" s="70">
        <v>1162120917</v>
      </c>
    </row>
    <row r="11" spans="1:5" x14ac:dyDescent="0.35">
      <c r="B11" s="39" t="s">
        <v>191</v>
      </c>
      <c r="C11" s="69" t="s">
        <v>288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282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214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214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283</v>
      </c>
      <c r="D22" s="75"/>
    </row>
    <row r="24" spans="2:13" x14ac:dyDescent="0.35">
      <c r="B24" s="76" t="s">
        <v>278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23767936</v>
      </c>
      <c r="D25" s="77">
        <v>22615878</v>
      </c>
      <c r="E25" s="77">
        <v>20790144</v>
      </c>
      <c r="F25" s="77">
        <v>22374001</v>
      </c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15757248</v>
      </c>
      <c r="D26" s="78">
        <v>14926379</v>
      </c>
      <c r="E26" s="78">
        <v>13017826</v>
      </c>
      <c r="F26" s="78">
        <v>12918146</v>
      </c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5068887</v>
      </c>
      <c r="D27" s="78">
        <v>4888813</v>
      </c>
      <c r="E27" s="78">
        <v>4526293</v>
      </c>
      <c r="F27" s="78">
        <v>4832922</v>
      </c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646577</v>
      </c>
      <c r="D29" s="78">
        <v>468159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>
        <v>24051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6871</v>
      </c>
      <c r="D31" s="78">
        <v>24051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>
        <f>4126200-4644583</f>
        <v>-518383</v>
      </c>
      <c r="D32" s="78">
        <f>3352219-4803030</f>
        <v>-1450811</v>
      </c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>
        <f>808830+5967+54201+30822</f>
        <v>899820</v>
      </c>
      <c r="D33" s="78">
        <f>793670+53694+6219+33410</f>
        <v>886993</v>
      </c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>
        <f>1469761+50745</f>
        <v>1520506</v>
      </c>
      <c r="D34" s="78">
        <f>1121618+123039</f>
        <v>1244657</v>
      </c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0.7+0.7</f>
        <v>1.4</v>
      </c>
      <c r="D44" s="81">
        <f>0.7+0.7</f>
        <v>1.4</v>
      </c>
      <c r="E44" s="81">
        <f>0.7+0.7</f>
        <v>1.4</v>
      </c>
      <c r="F44" s="81">
        <f>1.3+1.2</f>
        <v>2.5</v>
      </c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6.8356455648346401E-2</v>
      </c>
      <c r="D45" s="82">
        <f>IF(D44="","",D44*Exchange_Rate/Dashboard!$G$3)</f>
        <v>6.8356455648346401E-2</v>
      </c>
      <c r="E45" s="82">
        <f>IF(E44="","",E44*Exchange_Rate/Dashboard!$G$3)</f>
        <v>6.8356455648346401E-2</v>
      </c>
      <c r="F45" s="82">
        <f>IF(F44="","",F44*Exchange_Rate/Dashboard!$G$3)</f>
        <v>0.12206509937204715</v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277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274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23767936</v>
      </c>
      <c r="D91" s="98"/>
      <c r="E91" s="99">
        <f>C91</f>
        <v>23767936</v>
      </c>
      <c r="F91" s="99">
        <f>C91</f>
        <v>23767936</v>
      </c>
    </row>
    <row r="92" spans="2:8" x14ac:dyDescent="0.35">
      <c r="B92" s="100" t="s">
        <v>97</v>
      </c>
      <c r="C92" s="97">
        <f>C26</f>
        <v>15757248</v>
      </c>
      <c r="D92" s="101">
        <f>C92/C91</f>
        <v>0.66296240447635002</v>
      </c>
      <c r="E92" s="102">
        <f>E91*D92</f>
        <v>15757248</v>
      </c>
      <c r="F92" s="102">
        <f>F91*D92</f>
        <v>15757248</v>
      </c>
    </row>
    <row r="93" spans="2:8" x14ac:dyDescent="0.35">
      <c r="B93" s="100" t="s">
        <v>216</v>
      </c>
      <c r="C93" s="97">
        <f>C27+C28</f>
        <v>5068887</v>
      </c>
      <c r="D93" s="101">
        <f>C93/C91</f>
        <v>0.21326576274860384</v>
      </c>
      <c r="E93" s="102">
        <f>E91*D93</f>
        <v>5068887</v>
      </c>
      <c r="F93" s="102">
        <f>F91*D93</f>
        <v>5068887</v>
      </c>
    </row>
    <row r="94" spans="2:8" x14ac:dyDescent="0.35">
      <c r="B94" s="100" t="s">
        <v>222</v>
      </c>
      <c r="C94" s="97">
        <f>C29</f>
        <v>646577</v>
      </c>
      <c r="D94" s="101">
        <f>C94/C91</f>
        <v>2.7203750464491323E-2</v>
      </c>
      <c r="E94" s="103"/>
      <c r="F94" s="102">
        <f>F91*D94</f>
        <v>646577</v>
      </c>
    </row>
    <row r="95" spans="2:8" x14ac:dyDescent="0.35">
      <c r="B95" s="18" t="s">
        <v>215</v>
      </c>
      <c r="C95" s="97">
        <f>ABS(MAX(C34,0)-C33)</f>
        <v>620686</v>
      </c>
      <c r="D95" s="101">
        <f>C95/C91</f>
        <v>2.6114425754091564E-2</v>
      </c>
      <c r="E95" s="102">
        <f>E91*2%</f>
        <v>475358.72000000003</v>
      </c>
      <c r="F95" s="102">
        <f>F91*1%</f>
        <v>237679.36000000002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9161.3333333333339</v>
      </c>
      <c r="D97" s="101">
        <f>C97/C91</f>
        <v>3.8544925959634583E-4</v>
      </c>
      <c r="E97" s="103"/>
      <c r="F97" s="102">
        <f>F91*D97</f>
        <v>9161.3333333333339</v>
      </c>
    </row>
    <row r="98" spans="2:6" x14ac:dyDescent="0.35">
      <c r="B98" s="8" t="s">
        <v>180</v>
      </c>
      <c r="C98" s="104">
        <f>C44</f>
        <v>1.4</v>
      </c>
      <c r="D98" s="105"/>
      <c r="E98" s="106">
        <f>F98</f>
        <v>1.4</v>
      </c>
      <c r="F98" s="106">
        <f>C98</f>
        <v>1.4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1044.HK : 恒安國際</v>
      </c>
      <c r="D2" s="3"/>
      <c r="E2" s="7"/>
      <c r="F2" s="7"/>
      <c r="G2" s="312" t="str">
        <f>IF(Inputs!D4="","",Inputs!D4)</f>
        <v/>
      </c>
      <c r="H2" s="312"/>
    </row>
    <row r="3" spans="1:10" ht="15.75" customHeight="1" x14ac:dyDescent="0.35">
      <c r="B3" s="9" t="s">
        <v>167</v>
      </c>
      <c r="C3" s="317" t="str">
        <f>Inputs!C4</f>
        <v>1044.HK</v>
      </c>
      <c r="D3" s="318"/>
      <c r="E3" s="3"/>
      <c r="F3" s="9" t="s">
        <v>1</v>
      </c>
      <c r="G3" s="10">
        <v>21.8</v>
      </c>
      <c r="H3" s="11" t="s">
        <v>256</v>
      </c>
    </row>
    <row r="4" spans="1:10" ht="15.75" customHeight="1" x14ac:dyDescent="0.35">
      <c r="B4" s="12" t="s">
        <v>168</v>
      </c>
      <c r="C4" s="312" t="str">
        <f>Inputs!C5</f>
        <v>恒安國際</v>
      </c>
      <c r="D4" s="319"/>
      <c r="E4" s="3"/>
      <c r="F4" s="9" t="s">
        <v>2</v>
      </c>
      <c r="G4" s="322">
        <f>Inputs!C10</f>
        <v>1162120917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45637</v>
      </c>
      <c r="D5" s="321"/>
      <c r="E5" s="16"/>
      <c r="F5" s="12" t="s">
        <v>91</v>
      </c>
      <c r="G5" s="315">
        <f>G3*G4/1000000</f>
        <v>25334.235990600002</v>
      </c>
      <c r="H5" s="315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6" t="str">
        <f>Inputs!C11</f>
        <v>CNY</v>
      </c>
      <c r="H6" s="316"/>
      <c r="I6" s="17"/>
    </row>
    <row r="7" spans="1:10" ht="15.75" customHeight="1" x14ac:dyDescent="0.35">
      <c r="B7" s="8" t="s">
        <v>165</v>
      </c>
      <c r="C7" s="123" t="str">
        <f>Inputs!C8</f>
        <v>Tier 3</v>
      </c>
      <c r="D7" s="123" t="str">
        <f>Inputs!C9</f>
        <v>C0007</v>
      </c>
      <c r="E7" s="3"/>
      <c r="F7" s="12" t="s">
        <v>5</v>
      </c>
      <c r="G7" s="21">
        <v>1.0644076665242512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0.12338638351544982</v>
      </c>
      <c r="F21" s="3"/>
      <c r="G21" s="34"/>
    </row>
    <row r="22" spans="1:8" ht="15.75" customHeight="1" x14ac:dyDescent="0.35">
      <c r="B22" s="35" t="s">
        <v>244</v>
      </c>
      <c r="C22" s="36" t="e">
        <f>Data!C50</f>
        <v>#DIV/0!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239</v>
      </c>
      <c r="C24" s="42">
        <f>Fin_Analysis!I81</f>
        <v>2.7203750464491323E-2</v>
      </c>
      <c r="F24" s="39" t="s">
        <v>224</v>
      </c>
      <c r="G24" s="43">
        <f>G3/(Fin_Analysis!H86*G7)</f>
        <v>15.492707676778844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1.0590265851805289</v>
      </c>
    </row>
    <row r="26" spans="1:8" ht="15.75" customHeight="1" x14ac:dyDescent="0.35">
      <c r="B26" s="45" t="s">
        <v>241</v>
      </c>
      <c r="C26" s="44">
        <f>Fin_Analysis!I80+Fin_Analysis!I82</f>
        <v>0.01</v>
      </c>
      <c r="F26" s="46" t="s">
        <v>166</v>
      </c>
      <c r="G26" s="47">
        <f>Fin_Analysis!H88*Exchange_Rate/G3</f>
        <v>6.8356455648346401E-2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3" t="s">
        <v>223</v>
      </c>
      <c r="H28" s="313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13.608044965344838</v>
      </c>
      <c r="D29" s="54">
        <f>G29*(1+G20)</f>
        <v>25.458878878753126</v>
      </c>
      <c r="E29" s="3"/>
      <c r="F29" s="55">
        <f>IF(Fin_Analysis!C108="Profit",Fin_Analysis!F100,IF(Fin_Analysis!C108="Dividend",Fin_Analysis!F103,Fin_Analysis!F106))</f>
        <v>16.009464665111576</v>
      </c>
      <c r="G29" s="314">
        <f>IF(Fin_Analysis!C108="Profit",Fin_Analysis!I100,IF(Fin_Analysis!C108="Dividend",Fin_Analysis!I103,Fin_Analysis!I106))</f>
        <v>22.138155546741849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unclear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unclear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2932639.6666666665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23767936</v>
      </c>
      <c r="D6" s="142">
        <f>IF(Inputs!D25="","",Inputs!D25)</f>
        <v>22615878</v>
      </c>
      <c r="E6" s="142">
        <f>IF(Inputs!E25="","",Inputs!E25)</f>
        <v>20790144</v>
      </c>
      <c r="F6" s="142">
        <f>IF(Inputs!F25="","",Inputs!F25)</f>
        <v>22374001</v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5.0940228807389243E-2</v>
      </c>
      <c r="D7" s="143">
        <f t="shared" si="1"/>
        <v>8.7817284959642361E-2</v>
      </c>
      <c r="E7" s="143">
        <f t="shared" si="1"/>
        <v>-7.0790065665948587E-2</v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15757248</v>
      </c>
      <c r="D8" s="144">
        <f>IF(Inputs!D26="","",Inputs!D26)</f>
        <v>14926379</v>
      </c>
      <c r="E8" s="144">
        <f>IF(Inputs!E26="","",Inputs!E26)</f>
        <v>13017826</v>
      </c>
      <c r="F8" s="144">
        <f>IF(Inputs!F26="","",Inputs!F26)</f>
        <v>12918146</v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8010688</v>
      </c>
      <c r="D9" s="273">
        <f t="shared" si="2"/>
        <v>7689499</v>
      </c>
      <c r="E9" s="273">
        <f t="shared" si="2"/>
        <v>7772318</v>
      </c>
      <c r="F9" s="273">
        <f t="shared" si="2"/>
        <v>9455855</v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5068887</v>
      </c>
      <c r="D10" s="144">
        <f>IF(Inputs!D27="","",Inputs!D27)</f>
        <v>4888813</v>
      </c>
      <c r="E10" s="144">
        <f>IF(Inputs!E27="","",Inputs!E27)</f>
        <v>4526293</v>
      </c>
      <c r="F10" s="144">
        <f>IF(Inputs!F27="","",Inputs!F27)</f>
        <v>4832922</v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9161.3333333333339</v>
      </c>
      <c r="D12" s="144">
        <f>IF(Inputs!D31="","",MAX(Inputs!D31,0)/(1-Fin_Analysis!$I$84))</f>
        <v>32068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0.12338638351544982</v>
      </c>
      <c r="D13" s="292">
        <f t="shared" si="3"/>
        <v>0.12241921361620363</v>
      </c>
      <c r="E13" s="292">
        <f t="shared" si="3"/>
        <v>0.15613287719411659</v>
      </c>
      <c r="F13" s="292">
        <f t="shared" si="3"/>
        <v>0.20662075593900259</v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2932639.6666666665</v>
      </c>
      <c r="D14" s="294">
        <f t="shared" ref="D14:M14" si="4">IF(D6="","",D9-D10-MAX(D11,0)-MAX(D12,0))</f>
        <v>2768618</v>
      </c>
      <c r="E14" s="294">
        <f t="shared" si="4"/>
        <v>3246025</v>
      </c>
      <c r="F14" s="294">
        <f t="shared" si="4"/>
        <v>4622933</v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5.9243155490091633E-2</v>
      </c>
      <c r="D15" s="296">
        <f t="shared" ref="D15:M15" si="5">IF(E14="","",IF(ABS(D14+E14)=ABS(D14)+ABS(E14),IF(D14&lt;0,-1,1)*(D14-E14)/E14,"Turn"))</f>
        <v>-0.14707434477553316</v>
      </c>
      <c r="E15" s="296">
        <f t="shared" si="5"/>
        <v>-0.2978429494868301</v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>
        <f t="shared" ref="D16:M16" si="6">IF(D17="","",D17-D14)</f>
        <v>-2744567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>
        <f>IF(Inputs!D30="","",Inputs!D30)</f>
        <v>24051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>
        <f>IF(Inputs!C32="","",Inputs!C32)</f>
        <v>-518383</v>
      </c>
      <c r="D18" s="144">
        <f>IF(Inputs!D32="","",Inputs!D32)</f>
        <v>-1450811</v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646577</v>
      </c>
      <c r="D19" s="144">
        <f>IF(Inputs!D29="","",Inputs!D29)</f>
        <v>468159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>
        <f t="shared" ref="C20:M20" si="7">IF(OR(C6="",C21=""),"",C21/C6)</f>
        <v>3.7858567104859249E-2</v>
      </c>
      <c r="D20" s="227">
        <f t="shared" si="7"/>
        <v>3.9219923276911914E-2</v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>
        <f>IF(Inputs!C33="","",Inputs!C33)</f>
        <v>899820</v>
      </c>
      <c r="D21" s="144">
        <f>IF(Inputs!D33="","",Inputs!D33)</f>
        <v>886993</v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6.397299285895082E-2</v>
      </c>
      <c r="D22" s="227">
        <f t="shared" si="8"/>
        <v>5.5034653087534344E-2</v>
      </c>
      <c r="E22" s="227">
        <f t="shared" si="8"/>
        <v>0</v>
      </c>
      <c r="F22" s="227">
        <f t="shared" si="8"/>
        <v>0</v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>
        <f>IF(Inputs!C34="","",Inputs!C34)</f>
        <v>1520506</v>
      </c>
      <c r="D23" s="144">
        <f>IF(Inputs!D34="","",Inputs!D34)</f>
        <v>1244657</v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1665376.6666666665</v>
      </c>
      <c r="D24" s="309">
        <f t="shared" si="9"/>
        <v>1942795</v>
      </c>
      <c r="E24" s="309">
        <f t="shared" si="9"/>
        <v>3246025</v>
      </c>
      <c r="F24" s="309">
        <f t="shared" si="9"/>
        <v>4622933</v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5.2551155472650213E-2</v>
      </c>
      <c r="D25" s="143">
        <f t="shared" si="10"/>
        <v>6.4428020437676578E-2</v>
      </c>
      <c r="E25" s="143">
        <f t="shared" si="10"/>
        <v>0.11709965789558745</v>
      </c>
      <c r="F25" s="143">
        <f t="shared" si="10"/>
        <v>0.15496556695425195</v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1249032.5</v>
      </c>
      <c r="D26" s="276">
        <f>IF(D6="","",D24*(1-Fin_Analysis!$I$84))</f>
        <v>1457096.25</v>
      </c>
      <c r="E26" s="276">
        <f>IF(E6="","",E24*(1-Fin_Analysis!$I$84))</f>
        <v>2434518.75</v>
      </c>
      <c r="F26" s="276">
        <f>IF(F6="","",F24*(1-Fin_Analysis!$I$84))</f>
        <v>3467199.75</v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-0.14279341532860304</v>
      </c>
      <c r="D27" s="305">
        <f t="shared" si="11"/>
        <v>-0.40148489306151369</v>
      </c>
      <c r="E27" s="305">
        <f t="shared" si="11"/>
        <v>-0.2978429494868301</v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0.66296240447635002</v>
      </c>
      <c r="D42" s="150">
        <f t="shared" si="35"/>
        <v>0.65999555710373037</v>
      </c>
      <c r="E42" s="150">
        <f t="shared" si="35"/>
        <v>0.62615371976259515</v>
      </c>
      <c r="F42" s="150">
        <f t="shared" si="35"/>
        <v>0.57737308584191094</v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0.21326576274860384</v>
      </c>
      <c r="D43" s="146">
        <f t="shared" si="36"/>
        <v>0.21616728742523283</v>
      </c>
      <c r="E43" s="146">
        <f t="shared" si="36"/>
        <v>0.21771340304328821</v>
      </c>
      <c r="F43" s="146">
        <f t="shared" si="36"/>
        <v>0.21600615821908653</v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0</v>
      </c>
      <c r="F44" s="146">
        <f t="shared" si="37"/>
        <v>0</v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2.7203750464491323E-2</v>
      </c>
      <c r="D45" s="146">
        <f t="shared" si="38"/>
        <v>2.0700456555345761E-2</v>
      </c>
      <c r="E45" s="146">
        <f t="shared" si="38"/>
        <v>0</v>
      </c>
      <c r="F45" s="146">
        <f t="shared" si="38"/>
        <v>0</v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3.8544925959634583E-4</v>
      </c>
      <c r="D46" s="146">
        <f t="shared" si="39"/>
        <v>1.4179418548331399E-3</v>
      </c>
      <c r="E46" s="146">
        <f t="shared" si="39"/>
        <v>0</v>
      </c>
      <c r="F46" s="146">
        <f t="shared" si="39"/>
        <v>0</v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2.6114425754091564E-2</v>
      </c>
      <c r="D47" s="146">
        <f t="shared" si="40"/>
        <v>1.581472981062243E-2</v>
      </c>
      <c r="E47" s="146">
        <f t="shared" si="40"/>
        <v>0</v>
      </c>
      <c r="F47" s="146">
        <f t="shared" si="40"/>
        <v>0</v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7.0068207296866941E-2</v>
      </c>
      <c r="D48" s="281">
        <f t="shared" si="41"/>
        <v>8.5904027250235437E-2</v>
      </c>
      <c r="E48" s="281">
        <f t="shared" si="41"/>
        <v>0.15613287719411659</v>
      </c>
      <c r="F48" s="281">
        <f t="shared" si="41"/>
        <v>0.20662075593900259</v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 t="e">
        <f t="shared" ref="C50:M50" si="42">IF(C6="","",C6/C29)</f>
        <v>#DIV/0!</v>
      </c>
      <c r="D50" s="153" t="e">
        <f t="shared" si="42"/>
        <v>#VALUE!</v>
      </c>
      <c r="E50" s="153" t="e">
        <f t="shared" si="42"/>
        <v>#VALUE!</v>
      </c>
      <c r="F50" s="153" t="e">
        <f t="shared" si="42"/>
        <v>#VALUE!</v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>
        <f t="shared" ref="C53:M53" si="45">IF(D6="","",C18/(C6-D6))</f>
        <v>-0.44996258868911115</v>
      </c>
      <c r="D53" s="146">
        <f t="shared" si="45"/>
        <v>-0.79464533168577678</v>
      </c>
      <c r="E53" s="146" t="e">
        <f t="shared" si="45"/>
        <v>#VALUE!</v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0.38824670294808183</v>
      </c>
      <c r="D57" s="146">
        <f t="shared" si="48"/>
        <v>0.24097189873352567</v>
      </c>
      <c r="E57" s="146" t="str">
        <f t="shared" si="48"/>
        <v>-</v>
      </c>
      <c r="F57" s="146" t="str">
        <f t="shared" si="48"/>
        <v>-</v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e">
        <f t="shared" si="50"/>
        <v>#VALUE!</v>
      </c>
      <c r="F60" s="156" t="e">
        <f t="shared" si="50"/>
        <v>#VALUE!</v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e">
        <f t="shared" si="51"/>
        <v>#VALUE!</v>
      </c>
      <c r="F61" s="156" t="e">
        <f t="shared" si="51"/>
        <v>#VALUE!</v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0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0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0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0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23767936</v>
      </c>
      <c r="D74" s="98"/>
      <c r="E74" s="256">
        <f>Inputs!E91</f>
        <v>23767936</v>
      </c>
      <c r="F74" s="98"/>
      <c r="H74" s="256">
        <f>Inputs!F91</f>
        <v>23767936</v>
      </c>
      <c r="I74" s="98"/>
      <c r="K74" s="75"/>
    </row>
    <row r="75" spans="1:11" ht="15" customHeight="1" x14ac:dyDescent="0.35">
      <c r="B75" s="100" t="s">
        <v>97</v>
      </c>
      <c r="C75" s="97">
        <f>Data!C8</f>
        <v>15757248</v>
      </c>
      <c r="D75" s="101">
        <f>C75/$C$74</f>
        <v>0.66296240447635002</v>
      </c>
      <c r="E75" s="256">
        <f>Inputs!E92</f>
        <v>15757248</v>
      </c>
      <c r="F75" s="211">
        <f>E75/E74</f>
        <v>0.66296240447635002</v>
      </c>
      <c r="H75" s="256">
        <f>Inputs!F92</f>
        <v>15757248</v>
      </c>
      <c r="I75" s="211">
        <f>H75/$H$74</f>
        <v>0.66296240447635002</v>
      </c>
      <c r="K75" s="75"/>
    </row>
    <row r="76" spans="1:11" ht="15" customHeight="1" x14ac:dyDescent="0.35">
      <c r="B76" s="12" t="s">
        <v>87</v>
      </c>
      <c r="C76" s="145">
        <f>C74-C75</f>
        <v>8010688</v>
      </c>
      <c r="D76" s="212"/>
      <c r="E76" s="213">
        <f>E74-E75</f>
        <v>8010688</v>
      </c>
      <c r="F76" s="212"/>
      <c r="H76" s="213">
        <f>H74-H75</f>
        <v>8010688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5068887</v>
      </c>
      <c r="D77" s="101">
        <f>C77/$C$74</f>
        <v>0.21326576274860384</v>
      </c>
      <c r="E77" s="256">
        <f>Inputs!E93</f>
        <v>5068887</v>
      </c>
      <c r="F77" s="211">
        <f>E77/E74</f>
        <v>0.21326576274860384</v>
      </c>
      <c r="H77" s="256">
        <f>Inputs!F93</f>
        <v>5068887</v>
      </c>
      <c r="I77" s="211">
        <f>H77/$H$74</f>
        <v>0.21326576274860384</v>
      </c>
      <c r="K77" s="75"/>
    </row>
    <row r="78" spans="1:11" ht="15" customHeight="1" x14ac:dyDescent="0.35">
      <c r="B78" s="93" t="s">
        <v>150</v>
      </c>
      <c r="C78" s="97">
        <f>MAX(Data!C12,0)</f>
        <v>9161.3333333333339</v>
      </c>
      <c r="D78" s="101">
        <f>C78/$C$74</f>
        <v>3.8544925959634583E-4</v>
      </c>
      <c r="E78" s="214">
        <f>E74*F78</f>
        <v>9161.3333333333339</v>
      </c>
      <c r="F78" s="211">
        <f>I78</f>
        <v>3.8544925959634583E-4</v>
      </c>
      <c r="H78" s="256">
        <f>Inputs!F97</f>
        <v>9161.3333333333339</v>
      </c>
      <c r="I78" s="211">
        <f>H78/$H$74</f>
        <v>3.8544925959634583E-4</v>
      </c>
      <c r="K78" s="75"/>
    </row>
    <row r="79" spans="1:11" ht="15" customHeight="1" x14ac:dyDescent="0.35">
      <c r="B79" s="215" t="s">
        <v>203</v>
      </c>
      <c r="C79" s="216">
        <f>C76-C77-C78</f>
        <v>2932639.6666666665</v>
      </c>
      <c r="D79" s="217">
        <f>C79/C74</f>
        <v>0.12338638351544982</v>
      </c>
      <c r="E79" s="218">
        <f>E76-E77-E78</f>
        <v>2932639.6666666665</v>
      </c>
      <c r="F79" s="217">
        <f>E79/E74</f>
        <v>0.12338638351544982</v>
      </c>
      <c r="G79" s="219"/>
      <c r="H79" s="218">
        <f>H76-H77-H78</f>
        <v>2932639.6666666665</v>
      </c>
      <c r="I79" s="217">
        <f>H79/H74</f>
        <v>0.12338638351544982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646577</v>
      </c>
      <c r="D81" s="101">
        <f>C81/$C$74</f>
        <v>2.7203750464491323E-2</v>
      </c>
      <c r="E81" s="214">
        <f>E74*F81</f>
        <v>646577</v>
      </c>
      <c r="F81" s="211">
        <f>I81</f>
        <v>2.7203750464491323E-2</v>
      </c>
      <c r="H81" s="256">
        <f>Inputs!F94</f>
        <v>646577</v>
      </c>
      <c r="I81" s="211">
        <f>H81/$H$74</f>
        <v>2.7203750464491323E-2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620686</v>
      </c>
      <c r="D82" s="101">
        <f>C82/$C$74</f>
        <v>2.6114425754091564E-2</v>
      </c>
      <c r="E82" s="256">
        <f>Inputs!E95</f>
        <v>475358.72000000003</v>
      </c>
      <c r="F82" s="211">
        <f>E82/E74</f>
        <v>0.02</v>
      </c>
      <c r="H82" s="256">
        <f>Inputs!F95</f>
        <v>237679.36000000002</v>
      </c>
      <c r="I82" s="211">
        <f>H82/$H$74</f>
        <v>0.01</v>
      </c>
      <c r="K82" s="75"/>
    </row>
    <row r="83" spans="1:11" ht="15" customHeight="1" thickBot="1" x14ac:dyDescent="0.4">
      <c r="B83" s="221" t="s">
        <v>113</v>
      </c>
      <c r="C83" s="222">
        <f>C79-C81-C82-C80</f>
        <v>1665376.6666666665</v>
      </c>
      <c r="D83" s="223">
        <f>C83/$C$74</f>
        <v>7.0068207296866941E-2</v>
      </c>
      <c r="E83" s="224">
        <f>E79-E81-E82-E80</f>
        <v>1810703.9466666665</v>
      </c>
      <c r="F83" s="223">
        <f>E83/E74</f>
        <v>7.6182633050958501E-2</v>
      </c>
      <c r="H83" s="224">
        <f>H79-H81-H82-H80</f>
        <v>2048383.3066666664</v>
      </c>
      <c r="I83" s="223">
        <f>H83/$H$74</f>
        <v>8.6182633050958496E-2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1249032.5</v>
      </c>
      <c r="D85" s="217">
        <f>C85/$C$74</f>
        <v>5.2551155472650213E-2</v>
      </c>
      <c r="E85" s="229">
        <f>E83*(1-F84)</f>
        <v>1358027.96</v>
      </c>
      <c r="F85" s="217">
        <f>E85/E74</f>
        <v>5.7136974788218886E-2</v>
      </c>
      <c r="G85" s="219"/>
      <c r="H85" s="229">
        <f>H83*(1-I84)</f>
        <v>1536287.4799999997</v>
      </c>
      <c r="I85" s="217">
        <f>H85/$H$74</f>
        <v>6.4636974788218879E-2</v>
      </c>
      <c r="K85" s="75"/>
    </row>
    <row r="86" spans="1:11" ht="15" customHeight="1" x14ac:dyDescent="0.35">
      <c r="B86" s="3" t="s">
        <v>143</v>
      </c>
      <c r="C86" s="230">
        <f>C85*Data!C4/Common_Shares</f>
        <v>1.0747870395658665</v>
      </c>
      <c r="D86" s="98"/>
      <c r="E86" s="231">
        <f>E85*Data!C4/Common_Shares</f>
        <v>1.1685771593421892</v>
      </c>
      <c r="F86" s="98"/>
      <c r="H86" s="231">
        <f>H85*Data!C4/Common_Shares</f>
        <v>1.3219687018162498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5.2477594715358351E-2</v>
      </c>
      <c r="D87" s="98"/>
      <c r="E87" s="233">
        <f>E86*Exchange_Rate/Dashboard!G3</f>
        <v>5.7056994831603564E-2</v>
      </c>
      <c r="F87" s="98"/>
      <c r="H87" s="233">
        <f>H86*Exchange_Rate/Dashboard!G3</f>
        <v>6.4546496381574683E-2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1.4</v>
      </c>
      <c r="D88" s="235">
        <f>C88/C86</f>
        <v>1.3025836267671176</v>
      </c>
      <c r="E88" s="255">
        <f>Inputs!E98</f>
        <v>1.4</v>
      </c>
      <c r="F88" s="235">
        <f>E88/E86</f>
        <v>1.1980381345020319</v>
      </c>
      <c r="H88" s="255">
        <f>Inputs!F98</f>
        <v>1.4</v>
      </c>
      <c r="I88" s="235">
        <f>H88/H86</f>
        <v>1.0590265851805289</v>
      </c>
      <c r="K88" s="75"/>
    </row>
    <row r="89" spans="1:11" ht="15" customHeight="1" x14ac:dyDescent="0.35">
      <c r="B89" s="3" t="s">
        <v>193</v>
      </c>
      <c r="C89" s="232">
        <f>C88*Exchange_Rate/Dashboard!G3</f>
        <v>6.8356455648346401E-2</v>
      </c>
      <c r="D89" s="98"/>
      <c r="E89" s="232">
        <f>E88*Exchange_Rate/Dashboard!G3</f>
        <v>6.8356455648346401E-2</v>
      </c>
      <c r="F89" s="98"/>
      <c r="H89" s="232">
        <f>H88*Exchange_Rate/Dashboard!G3</f>
        <v>6.8356455648346401E-2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25.882591300763526</v>
      </c>
      <c r="H93" s="3" t="s">
        <v>182</v>
      </c>
      <c r="I93" s="237">
        <f>FV(H87,D93,0,-(H86/(C93-D94)))*Exchange_Rate</f>
        <v>30.118716216105057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32.35560267997284</v>
      </c>
      <c r="H94" s="3" t="s">
        <v>183</v>
      </c>
      <c r="I94" s="237">
        <f>FV(H89,D93,0,-(H88/(C93-D94)))*Exchange_Rate</f>
        <v>32.35560267997284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20012272.745121859</v>
      </c>
      <c r="D97" s="244"/>
      <c r="E97" s="245">
        <f>PV(C94,D93,0,-F93)</f>
        <v>14.798455580569557</v>
      </c>
      <c r="F97" s="244"/>
      <c r="H97" s="245">
        <f>PV(C94,D93,0,-I93)</f>
        <v>17.220473749653593</v>
      </c>
      <c r="I97" s="245">
        <f>PV(C93,D93,0,-I93)</f>
        <v>22.138155546741849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13.608044965344838</v>
      </c>
      <c r="E100" s="251">
        <f>MAX(E97+H98+E99,0)</f>
        <v>14.798455580569557</v>
      </c>
      <c r="F100" s="251">
        <f>(E100+H100)/2</f>
        <v>16.009464665111576</v>
      </c>
      <c r="H100" s="251">
        <f>MAX(H97+H98+H99,0)</f>
        <v>17.220473749653593</v>
      </c>
      <c r="I100" s="251">
        <f>MAX(I97+H98+H99,0)</f>
        <v>22.138155546741849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15.724507718584153</v>
      </c>
      <c r="E103" s="245">
        <f>PV(C94,D93,0,-F94)</f>
        <v>18.499420845393121</v>
      </c>
      <c r="F103" s="251">
        <f>(E103+H103)/2</f>
        <v>18.499420845393121</v>
      </c>
      <c r="H103" s="245">
        <f>PV(C94,D93,0,-I94)</f>
        <v>18.499420845393121</v>
      </c>
      <c r="I103" s="251">
        <f>PV(C93,D93,0,-I94)</f>
        <v>23.782333875000965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14.666276341964496</v>
      </c>
      <c r="E106" s="245">
        <f>(E100+E103)/2</f>
        <v>16.648938212981339</v>
      </c>
      <c r="F106" s="251">
        <f>(F100+F103)/2</f>
        <v>17.254442755252349</v>
      </c>
      <c r="H106" s="245">
        <f>(H100+H103)/2</f>
        <v>17.859947297523355</v>
      </c>
      <c r="I106" s="245">
        <f>(I100+I103)/2</f>
        <v>22.960244710871407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45637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2025-01-03T05:28:47Z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