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E6F28B6-A755-4BCB-A988-638D0C4A75A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95" i="4" l="1"/>
  <c r="F96" i="4"/>
  <c r="F97" i="4"/>
  <c r="E95" i="4"/>
  <c r="E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<sst xmlns="http://schemas.openxmlformats.org/spreadsheetml/2006/main" count="405" uniqueCount="290">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</sst>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28698864088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234261514</v>
      </c>
      <c r="D25" s="77">
        <v>222938637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183809908</v>
      </c>
      <c r="D26" s="78">
        <v>177260463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37506984</v>
      </c>
      <c r="D27" s="78">
        <v>599182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0</v>
      </c>
      <c r="D29" s="78">
        <v>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645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2199</v>
      </c>
      <c r="D31" s="78">
        <v>645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-169280</v>
      </c>
      <c r="D32" s="78">
        <v>-50846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35974</v>
      </c>
      <c r="D33" s="78">
        <v>32106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15312</v>
      </c>
      <c r="D34" s="78">
        <v>11600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131280367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66848740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279593282</v>
      </c>
      <c r="D37" s="78">
        <v>734909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18682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6202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10412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199906611</v>
      </c>
      <c r="D41" s="302">
        <v>2824568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39516717</v>
      </c>
      <c r="D42" s="78">
        <v>7297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2868641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4.3802784630627624E-2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47742240</v>
      </c>
      <c r="D48" s="109">
        <v>0.9</v>
      </c>
      <c r="E48" s="260"/>
    </row>
    <row r="49" spans="2:5" x14ac:dyDescent="0.35">
      <c r="B49" s="2" t="s">
        <v>123</v>
      </c>
      <c r="C49" s="86">
        <v>0</v>
      </c>
      <c r="D49" s="109">
        <v>0.8</v>
      </c>
      <c r="E49" s="260"/>
    </row>
    <row r="50" spans="2:5" x14ac:dyDescent="0.35">
      <c r="B50" s="9" t="s">
        <v>105</v>
      </c>
      <c r="C50" s="86">
        <v>121633388</v>
      </c>
      <c r="D50" s="109">
        <f>D51</f>
        <v>0.6</v>
      </c>
      <c r="E50" s="260"/>
    </row>
    <row r="51" spans="2:5" x14ac:dyDescent="0.35">
      <c r="B51" s="9" t="s">
        <v>34</v>
      </c>
      <c r="C51" s="86">
        <v>7768559</v>
      </c>
      <c r="D51" s="109">
        <v>0.6</v>
      </c>
      <c r="E51" s="260"/>
    </row>
    <row r="52" spans="2:5" x14ac:dyDescent="0.35">
      <c r="B52" s="9" t="s">
        <v>36</v>
      </c>
      <c r="C52" s="86">
        <v>0</v>
      </c>
      <c r="D52" s="109">
        <v>0.5</v>
      </c>
      <c r="E52" s="260"/>
    </row>
    <row r="53" spans="2:5" x14ac:dyDescent="0.35">
      <c r="B53" s="2" t="s">
        <v>141</v>
      </c>
      <c r="C53" s="86">
        <v>0</v>
      </c>
      <c r="D53" s="109">
        <f>D50</f>
        <v>0.6</v>
      </c>
      <c r="E53" s="260"/>
    </row>
    <row r="54" spans="2:5" x14ac:dyDescent="0.35">
      <c r="B54" s="9" t="s">
        <v>226</v>
      </c>
      <c r="C54" s="86">
        <v>44533603</v>
      </c>
      <c r="D54" s="109">
        <v>0.1</v>
      </c>
      <c r="E54" s="260"/>
    </row>
    <row r="55" spans="2:5" x14ac:dyDescent="0.35">
      <c r="B55" s="9" t="s">
        <v>39</v>
      </c>
      <c r="C55" s="86">
        <v>86201047</v>
      </c>
      <c r="D55" s="109">
        <f>D52</f>
        <v>0.5</v>
      </c>
      <c r="E55" s="260"/>
    </row>
    <row r="56" spans="2:5" x14ac:dyDescent="0.35">
      <c r="B56" s="2" t="s">
        <v>40</v>
      </c>
      <c r="C56" s="86">
        <v>0</v>
      </c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>
        <v>0</v>
      </c>
      <c r="D57" s="109">
        <v>0.6</v>
      </c>
      <c r="E57" s="261" t="s">
        <v>38</v>
      </c>
    </row>
    <row r="58" spans="2:5" x14ac:dyDescent="0.35">
      <c r="B58" s="9" t="s">
        <v>42</v>
      </c>
      <c r="C58" s="86">
        <v>0</v>
      </c>
      <c r="D58" s="109">
        <f>D48</f>
        <v>0.9</v>
      </c>
      <c r="E58" s="260"/>
    </row>
    <row r="59" spans="2:5" x14ac:dyDescent="0.35">
      <c r="B59" s="12" t="s">
        <v>43</v>
      </c>
      <c r="C59" s="88">
        <v>11709109</v>
      </c>
      <c r="D59" s="110">
        <f>D70</f>
        <v>0.05</v>
      </c>
      <c r="E59" s="260"/>
    </row>
    <row r="60" spans="2:5" x14ac:dyDescent="0.35">
      <c r="B60" s="9" t="s">
        <v>53</v>
      </c>
      <c r="C60" s="86">
        <v>0</v>
      </c>
      <c r="D60" s="109">
        <f>D49</f>
        <v>0.8</v>
      </c>
      <c r="E60" s="260"/>
    </row>
    <row r="61" spans="2:5" x14ac:dyDescent="0.35">
      <c r="B61" s="9" t="s">
        <v>55</v>
      </c>
      <c r="C61" s="86">
        <v>2881955</v>
      </c>
      <c r="D61" s="109">
        <f>D51</f>
        <v>0.6</v>
      </c>
      <c r="E61" s="260"/>
    </row>
    <row r="62" spans="2:5" x14ac:dyDescent="0.35">
      <c r="B62" s="9" t="s">
        <v>57</v>
      </c>
      <c r="C62" s="86">
        <v>821946</v>
      </c>
      <c r="D62" s="109">
        <f>D52</f>
        <v>0.5</v>
      </c>
      <c r="E62" s="260"/>
    </row>
    <row r="63" spans="2:5" x14ac:dyDescent="0.35">
      <c r="B63" s="2" t="s">
        <v>142</v>
      </c>
      <c r="C63" s="86">
        <v>0</v>
      </c>
      <c r="D63" s="109">
        <f>D62</f>
        <v>0.5</v>
      </c>
      <c r="E63" s="260"/>
    </row>
    <row r="64" spans="2:5" x14ac:dyDescent="0.35">
      <c r="B64" s="9" t="s">
        <v>225</v>
      </c>
      <c r="C64" s="86">
        <v>7301425</v>
      </c>
      <c r="D64" s="109">
        <v>0.4</v>
      </c>
      <c r="E64" s="260"/>
    </row>
    <row r="65" spans="2:5" x14ac:dyDescent="0.35">
      <c r="B65" s="9" t="s">
        <v>62</v>
      </c>
      <c r="C65" s="86">
        <v>21620835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805212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6765810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60750263</v>
      </c>
      <c r="D68" s="109">
        <f>D65</f>
        <v>0.1</v>
      </c>
      <c r="E68" s="260"/>
    </row>
    <row r="69" spans="2:5" x14ac:dyDescent="0.35">
      <c r="B69" s="9" t="s">
        <v>65</v>
      </c>
      <c r="C69" s="86">
        <v>0</v>
      </c>
      <c r="D69" s="109">
        <f>D70</f>
        <v>0.05</v>
      </c>
      <c r="E69" s="260"/>
    </row>
    <row r="70" spans="2:5" x14ac:dyDescent="0.35">
      <c r="B70" s="9" t="s">
        <v>66</v>
      </c>
      <c r="C70" s="86">
        <v>17178235</v>
      </c>
      <c r="D70" s="109">
        <v>0.05</v>
      </c>
      <c r="E70" s="260"/>
    </row>
    <row r="71" spans="2:5" x14ac:dyDescent="0.35">
      <c r="B71" s="9" t="s">
        <v>67</v>
      </c>
      <c r="C71" s="86">
        <v>4163174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37623092</v>
      </c>
      <c r="D72" s="111">
        <v>0</v>
      </c>
      <c r="E72" s="262"/>
    </row>
    <row r="73" spans="2:5" x14ac:dyDescent="0.35">
      <c r="B73" s="9" t="s">
        <v>31</v>
      </c>
      <c r="C73" s="86">
        <v>12970041</v>
      </c>
    </row>
    <row r="74" spans="2:5" x14ac:dyDescent="0.35">
      <c r="B74" s="9" t="s">
        <v>32</v>
      </c>
      <c r="C74" s="86">
        <v>13416</v>
      </c>
    </row>
    <row r="75" spans="2:5" x14ac:dyDescent="0.35">
      <c r="B75" s="9" t="s">
        <v>33</v>
      </c>
      <c r="C75" s="86">
        <v>0</v>
      </c>
    </row>
    <row r="76" spans="2:5" x14ac:dyDescent="0.35">
      <c r="B76" s="8" t="s">
        <v>35</v>
      </c>
      <c r="C76" s="88">
        <v>9668</v>
      </c>
    </row>
    <row r="77" spans="2:5" ht="12" thickBot="1" x14ac:dyDescent="0.4">
      <c r="B77" s="91" t="s">
        <v>15</v>
      </c>
      <c r="C77" s="92">
        <v>255569971</v>
      </c>
    </row>
    <row r="78" spans="2:5" ht="12" thickTop="1" x14ac:dyDescent="0.35">
      <c r="B78" s="9" t="s">
        <v>54</v>
      </c>
      <c r="C78" s="86">
        <v>6315552</v>
      </c>
    </row>
    <row r="79" spans="2:5" x14ac:dyDescent="0.35">
      <c r="B79" s="9" t="s">
        <v>56</v>
      </c>
      <c r="C79" s="86">
        <v>1694399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24023311</v>
      </c>
    </row>
    <row r="83" spans="2:8" hidden="1" x14ac:dyDescent="0.35">
      <c r="B83" s="300" t="s">
        <v>246</v>
      </c>
      <c r="C83" s="79">
        <v>160389894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234261514</v>
      </c>
      <c r="D91" s="98"/>
      <c r="E91" s="99">
        <f>C91</f>
        <v>234261514</v>
      </c>
      <c r="F91" s="99">
        <f>C91</f>
        <v>234261514</v>
      </c>
    </row>
    <row r="92" spans="2:8" x14ac:dyDescent="0.35">
      <c r="B92" s="100" t="s">
        <v>97</v>
      </c>
      <c r="C92" s="97">
        <f>C26</f>
        <v>183809908</v>
      </c>
      <c r="D92" s="101">
        <f>C92/C91</f>
        <v>0.78463553343209413</v>
      </c>
      <c r="E92" s="102">
        <f>E91*D92</f>
        <v>183809908</v>
      </c>
      <c r="F92" s="102">
        <f>F91*D92</f>
        <v>183809908</v>
      </c>
    </row>
    <row r="93" spans="2:8" x14ac:dyDescent="0.35">
      <c r="B93" s="100" t="s">
        <v>216</v>
      </c>
      <c r="C93" s="97">
        <f>C27+C28</f>
        <v>37506984</v>
      </c>
      <c r="D93" s="101">
        <f>C93/C91</f>
        <v>0.16010732347610457</v>
      </c>
      <c r="E93" s="102">
        <f>E91*D93</f>
        <v>37506984</v>
      </c>
      <c r="F93" s="102">
        <f>F91*D93</f>
        <v>37506984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20662</v>
      </c>
      <c r="D95" s="101">
        <f>C95/C91</f>
        <v>8.8200573996119572E-5</v>
      </c>
      <c r="E95" s="102">
        <f>E91*D95</f>
        <v>20662</v>
      </c>
      <c r="F95" s="102">
        <f>F91*D95</f>
        <v>20662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2932</v>
      </c>
      <c r="D97" s="101">
        <f>C97/C91</f>
        <v>1.2515926965280349E-5</v>
      </c>
      <c r="E97" s="103"/>
      <c r="F97" s="102">
        <f>F91*D97</f>
        <v>2932</v>
      </c>
    </row>
    <row r="98" spans="2:6" x14ac:dyDescent="0.35">
      <c r="B98" s="8" t="s">
        <v>180</v>
      </c>
      <c r="C98" s="104">
        <f>C44</f>
        <v>0.2</v>
      </c>
      <c r="D98" s="105"/>
      <c r="E98" s="106">
        <f>F98</f>
        <v>0.2</v>
      </c>
      <c r="F98" s="106">
        <f>C98</f>
        <v>0.2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1766.HK : 中国中车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1766.HK</v>
      </c>
      <c r="D3" s="318"/>
      <c r="E3" s="3"/>
      <c r="F3" s="9" t="s">
        <v>1</v>
      </c>
      <c r="G3" s="10">
        <v>4.8600000000000003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中国中车</v>
      </c>
      <c r="D4" s="319"/>
      <c r="E4" s="3"/>
      <c r="F4" s="9" t="s">
        <v>2</v>
      </c>
      <c r="G4" s="322">
        <f>Inputs!C10</f>
        <v>28698864088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139476.47946768004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8.0688936673279421E-2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5.5244627164835962E-2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0.48855383999011653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2.9895891882065837</v>
      </c>
      <c r="F23" s="39" t="s">
        <v>163</v>
      </c>
      <c r="G23" s="40">
        <f>G3/(Data!C36*Data!C4/Common_Shares*Exchange_Rate)</f>
        <v>0.65548963111745007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13.521804477923332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0.59229268936393198</v>
      </c>
    </row>
    <row r="26" spans="1:8" ht="15.75" customHeight="1" x14ac:dyDescent="0.35">
      <c r="B26" s="45" t="s">
        <v>241</v>
      </c>
      <c r="C26" s="44">
        <f>Fin_Analysis!I80+Fin_Analysis!I82</f>
        <v>8.8200573996119572E-5</v>
      </c>
      <c r="F26" s="46" t="s">
        <v>166</v>
      </c>
      <c r="G26" s="47">
        <f>Fin_Analysis!H88*Exchange_Rate/G3</f>
        <v>4.3802784630627624E-2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2.0468598537445031</v>
      </c>
      <c r="D29" s="54">
        <f>G29*(1+G20)</f>
        <v>3.5601095502970121</v>
      </c>
      <c r="E29" s="3"/>
      <c r="F29" s="55">
        <f>IF(Fin_Analysis!C108="Profit",Fin_Analysis!F100,IF(Fin_Analysis!C108="Dividend",Fin_Analysis!F103,Fin_Analysis!F106))</f>
        <v>2.4080704161700037</v>
      </c>
      <c r="G29" s="314">
        <f>IF(Fin_Analysis!C108="Profit",Fin_Analysis!I100,IF(Fin_Analysis!C108="Dividend",Fin_Analysis!I103,Fin_Analysis!I106))</f>
        <v>3.0957474350408805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12941690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234261514</v>
      </c>
      <c r="D6" s="142">
        <f>IF(Inputs!D25="","",Inputs!D25)</f>
        <v>222938637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5.078920887095939E-2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183809908</v>
      </c>
      <c r="D8" s="144">
        <f>IF(Inputs!D26="","",Inputs!D26)</f>
        <v>177260463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50451606</v>
      </c>
      <c r="D9" s="273">
        <f t="shared" si="2"/>
        <v>45678174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37506984</v>
      </c>
      <c r="D10" s="144">
        <f>IF(Inputs!D27="","",Inputs!D27)</f>
        <v>599182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2932</v>
      </c>
      <c r="D12" s="144">
        <f>IF(Inputs!D31="","",MAX(Inputs!D31,0)/(1-Fin_Analysis!$I$84))</f>
        <v>860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5.5244627164835962E-2</v>
      </c>
      <c r="D13" s="292">
        <f t="shared" si="3"/>
        <v>0.20219972906715133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12941690</v>
      </c>
      <c r="D14" s="294">
        <f t="shared" ref="D14:M14" si="4">IF(D6="","",D9-D10-MAX(D11,0)-MAX(D12,0))</f>
        <v>45078132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-0.71290536173947938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-45077487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645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-169280</v>
      </c>
      <c r="D18" s="144">
        <f>IF(Inputs!D32="","",Inputs!D32)</f>
        <v>-50846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0</v>
      </c>
      <c r="D19" s="144">
        <f>IF(Inputs!D29="","",Inputs!D29)</f>
        <v>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1.5356342314085786E-4</v>
      </c>
      <c r="D20" s="227">
        <f t="shared" si="7"/>
        <v>1.4401272220929565E-4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35974</v>
      </c>
      <c r="D21" s="144">
        <f>IF(Inputs!D33="","",Inputs!D33)</f>
        <v>32106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6.5362849144738304E-5</v>
      </c>
      <c r="D22" s="227">
        <f t="shared" si="8"/>
        <v>5.2032254956326836E-5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15312</v>
      </c>
      <c r="D23" s="144">
        <f>IF(Inputs!D34="","",Inputs!D34)</f>
        <v>11600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12921028</v>
      </c>
      <c r="D24" s="309">
        <f t="shared" si="9"/>
        <v>45057626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4.1367319943129879E-2</v>
      </c>
      <c r="D25" s="143">
        <f t="shared" si="10"/>
        <v>0.15158081144992377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9690771</v>
      </c>
      <c r="D26" s="276">
        <f>IF(D6="","",D24*(1-Fin_Analysis!$I$84))</f>
        <v>33793219.5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-0.71323327154431082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479499893</v>
      </c>
      <c r="D29" s="147">
        <f>IF(D36="","",D36+D32)</f>
        <v>3559477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121633388</v>
      </c>
      <c r="D30" s="144">
        <f>IF(Inputs!D35="","",Inputs!D35)</f>
        <v>131280367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86201047</v>
      </c>
      <c r="D31" s="144">
        <f>IF(Inputs!D36="","",Inputs!D36)</f>
        <v>66848740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279593282</v>
      </c>
      <c r="D32" s="144">
        <f>IF(Inputs!D37="","",Inputs!D37)</f>
        <v>734909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12993125</v>
      </c>
      <c r="D33" s="144">
        <f>IF(Inputs!D39="","",Inputs!D39)</f>
        <v>6202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8009951</v>
      </c>
      <c r="D34" s="144">
        <f>IF(Inputs!D40="","",Inputs!D40)</f>
        <v>10412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21003076</v>
      </c>
      <c r="D35" s="97">
        <f t="shared" ref="D35" si="23">IF(OR(D33="",D34=""),"",D33+D34)</f>
        <v>16614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199906611</v>
      </c>
      <c r="D36" s="144">
        <f>IF(Inputs!D41="","",Inputs!D41)</f>
        <v>2824568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39516717</v>
      </c>
      <c r="D37" s="144">
        <f>IF(Inputs!D42="","",Inputs!D42)</f>
        <v>7297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2868641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397859146</v>
      </c>
      <c r="D39" s="147">
        <f t="shared" ref="D39:M39" si="33">IF(D38="","",D29-D38)</f>
        <v>690836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3.2528320965128699E-2</v>
      </c>
      <c r="D40" s="148">
        <f>IF(D6="","",D14/MAX(D39,0))</f>
        <v>65.251567665842543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0.78463553343209413</v>
      </c>
      <c r="D42" s="150">
        <f t="shared" si="35"/>
        <v>0.79510875900797762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0.16010732347610457</v>
      </c>
      <c r="D43" s="146">
        <f t="shared" si="36"/>
        <v>2.6876543611415371E-3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1.2515926965280349E-5</v>
      </c>
      <c r="D46" s="146">
        <f t="shared" si="39"/>
        <v>3.8575637295207831E-6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8.8200573996119572E-5</v>
      </c>
      <c r="D47" s="146">
        <f t="shared" si="40"/>
        <v>9.1980467252968803E-5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5.5156426590839844E-2</v>
      </c>
      <c r="D48" s="281">
        <f t="shared" si="41"/>
        <v>0.20210774859989836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0.48855383999011653</v>
      </c>
      <c r="D50" s="153">
        <f t="shared" si="42"/>
        <v>62.632413975423916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0.51922053231500931</v>
      </c>
      <c r="D51" s="146">
        <f t="shared" si="43"/>
        <v>0.58886323504346172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0.36796930715644566</v>
      </c>
      <c r="D52" s="146">
        <f t="shared" si="44"/>
        <v>0.29985264510251758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-1.4950263965598143E-2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0.33449411843768651</v>
      </c>
      <c r="D55" s="150">
        <f t="shared" si="46"/>
        <v>0.79148453550900877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0.61519693591548208</v>
      </c>
      <c r="D56" s="154">
        <f t="shared" si="47"/>
        <v>2712.0275671120739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5.2485238702202602E-3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8.0688936673279421E-2</v>
      </c>
      <c r="D60" s="156">
        <f t="shared" si="50"/>
        <v>16.000637496357289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8.0560113095404881E-2</v>
      </c>
      <c r="D61" s="156">
        <f t="shared" si="51"/>
        <v>15.993358821355844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199906611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160389894</v>
      </c>
      <c r="K3" s="75"/>
    </row>
    <row r="4" spans="1:11" ht="15" customHeight="1" x14ac:dyDescent="0.35">
      <c r="B4" s="9" t="s">
        <v>21</v>
      </c>
      <c r="C4" s="3"/>
      <c r="D4" s="144">
        <f>Inputs!C42</f>
        <v>39516717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1.250490989804119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-131620258</v>
      </c>
      <c r="E6" s="170">
        <f>1-D6/D3</f>
        <v>1.6584087306647404</v>
      </c>
      <c r="F6" s="3"/>
      <c r="G6" s="3"/>
      <c r="H6" s="2" t="s">
        <v>24</v>
      </c>
      <c r="I6" s="168">
        <f>(C24+C25)/I28</f>
        <v>0.86738590270450822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0.69313380717956097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47742240</v>
      </c>
      <c r="D11" s="258">
        <f>Inputs!D48</f>
        <v>0.9</v>
      </c>
      <c r="E11" s="176">
        <f t="shared" ref="E11:E22" si="0">C11*D11</f>
        <v>42968016</v>
      </c>
      <c r="F11" s="260"/>
      <c r="G11" s="3"/>
      <c r="H11" s="9" t="s">
        <v>31</v>
      </c>
      <c r="I11" s="175">
        <f>Inputs!C73</f>
        <v>12970041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13416</v>
      </c>
      <c r="J12" s="3"/>
      <c r="K12" s="75"/>
    </row>
    <row r="13" spans="1:11" ht="11.65" x14ac:dyDescent="0.35">
      <c r="B13" s="9" t="s">
        <v>105</v>
      </c>
      <c r="C13" s="175">
        <f>Inputs!C50</f>
        <v>121633388</v>
      </c>
      <c r="D13" s="258">
        <f>Inputs!D50</f>
        <v>0.6</v>
      </c>
      <c r="E13" s="176">
        <f t="shared" si="0"/>
        <v>72980032.799999997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7768559</v>
      </c>
      <c r="D14" s="258">
        <f>Inputs!D51</f>
        <v>0.6</v>
      </c>
      <c r="E14" s="176">
        <f t="shared" si="0"/>
        <v>4661135.3999999994</v>
      </c>
      <c r="F14" s="260"/>
      <c r="G14" s="3"/>
      <c r="H14" s="8" t="s">
        <v>35</v>
      </c>
      <c r="I14" s="178">
        <f>Inputs!C76</f>
        <v>9668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12993125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44533603</v>
      </c>
      <c r="D17" s="258">
        <f>Inputs!D54</f>
        <v>0.1</v>
      </c>
      <c r="E17" s="176">
        <f t="shared" si="0"/>
        <v>4453360.3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86201047</v>
      </c>
      <c r="D18" s="258">
        <f>Inputs!D55</f>
        <v>0.5</v>
      </c>
      <c r="E18" s="176">
        <f t="shared" si="0"/>
        <v>43100523.5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11709109</v>
      </c>
      <c r="D22" s="258">
        <f>Inputs!D59</f>
        <v>0.05</v>
      </c>
      <c r="E22" s="176">
        <f t="shared" si="0"/>
        <v>585455.45000000007</v>
      </c>
      <c r="F22" s="260"/>
      <c r="G22" s="3"/>
      <c r="H22" s="9" t="s">
        <v>37</v>
      </c>
      <c r="I22" s="182">
        <f>I28-SUM(I11:I14)</f>
        <v>242576846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177144187</v>
      </c>
      <c r="D24" s="185">
        <f>IF(E24=0,0,E24/C24)</f>
        <v>0.68085318656265026</v>
      </c>
      <c r="E24" s="176">
        <f>SUM(E11:E14)</f>
        <v>120609184.2</v>
      </c>
      <c r="F24" s="186">
        <f>E24/$E$28</f>
        <v>0.71472734536688487</v>
      </c>
      <c r="G24" s="3"/>
    </row>
    <row r="25" spans="2:10" ht="15" customHeight="1" x14ac:dyDescent="0.35">
      <c r="B25" s="183" t="s">
        <v>47</v>
      </c>
      <c r="C25" s="184">
        <f>SUM(C15:C17)</f>
        <v>44533603</v>
      </c>
      <c r="D25" s="185">
        <f>IF(E25=0,0,E25/C25)</f>
        <v>9.9999999999999992E-2</v>
      </c>
      <c r="E25" s="176">
        <f>SUM(E15:E17)</f>
        <v>4453360.3</v>
      </c>
      <c r="F25" s="186">
        <f>E25/$E$28</f>
        <v>2.6390514174303433E-2</v>
      </c>
      <c r="G25" s="3"/>
      <c r="H25" s="183" t="s">
        <v>48</v>
      </c>
      <c r="I25" s="168">
        <f>E28/I28</f>
        <v>0.66028306373286705</v>
      </c>
    </row>
    <row r="26" spans="2:10" ht="15" customHeight="1" x14ac:dyDescent="0.35">
      <c r="B26" s="183" t="s">
        <v>49</v>
      </c>
      <c r="C26" s="184">
        <f>C18+C19+C20</f>
        <v>86201047</v>
      </c>
      <c r="D26" s="185">
        <f>IF(E26=0,0,E26/C26)</f>
        <v>0.5</v>
      </c>
      <c r="E26" s="176">
        <f>E18+E19+E20</f>
        <v>43100523.5</v>
      </c>
      <c r="F26" s="186">
        <f>E26/$E$28</f>
        <v>0.25541274447222434</v>
      </c>
      <c r="G26" s="3"/>
      <c r="H26" s="183" t="s">
        <v>50</v>
      </c>
      <c r="I26" s="168">
        <f>E24/($I$28-I22)</f>
        <v>9.2825385886767044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11709109</v>
      </c>
      <c r="D27" s="185">
        <f>IF(E27=0,0,E27/C27)</f>
        <v>0.05</v>
      </c>
      <c r="E27" s="176">
        <f>E21+E22</f>
        <v>585455.45000000007</v>
      </c>
      <c r="F27" s="186">
        <f>E27/$E$28</f>
        <v>3.4693959865875206E-3</v>
      </c>
      <c r="G27" s="3"/>
      <c r="H27" s="183" t="s">
        <v>52</v>
      </c>
      <c r="I27" s="168">
        <f>(E25+E24)/$I$28</f>
        <v>0.48934757088500042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319587946</v>
      </c>
      <c r="D28" s="190">
        <f>E28/C28</f>
        <v>0.52801904941058064</v>
      </c>
      <c r="E28" s="191">
        <f>SUM(E24:E27)</f>
        <v>168748523.44999999</v>
      </c>
      <c r="F28" s="87"/>
      <c r="G28" s="3"/>
      <c r="H28" s="188" t="s">
        <v>15</v>
      </c>
      <c r="I28" s="161">
        <f>Inputs!C77</f>
        <v>255569971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6315552</v>
      </c>
      <c r="J30" s="3"/>
    </row>
    <row r="31" spans="2:10" ht="15" customHeight="1" x14ac:dyDescent="0.35">
      <c r="B31" s="9" t="s">
        <v>55</v>
      </c>
      <c r="C31" s="175">
        <f>Inputs!C61</f>
        <v>2881955</v>
      </c>
      <c r="D31" s="258">
        <f>Inputs!D61</f>
        <v>0.6</v>
      </c>
      <c r="E31" s="176">
        <f t="shared" ref="E31:E42" si="1">C31*D31</f>
        <v>1729173</v>
      </c>
      <c r="F31" s="260"/>
      <c r="G31" s="3"/>
      <c r="H31" s="9" t="s">
        <v>56</v>
      </c>
      <c r="I31" s="175">
        <f>Inputs!C79</f>
        <v>1694399</v>
      </c>
      <c r="J31" s="3"/>
    </row>
    <row r="32" spans="2:10" ht="15" customHeight="1" x14ac:dyDescent="0.35">
      <c r="B32" s="9" t="s">
        <v>57</v>
      </c>
      <c r="C32" s="175">
        <f>Inputs!C62</f>
        <v>821946</v>
      </c>
      <c r="D32" s="258">
        <f>Inputs!D62</f>
        <v>0.5</v>
      </c>
      <c r="E32" s="176">
        <f t="shared" si="1"/>
        <v>410973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7301425</v>
      </c>
      <c r="D34" s="258">
        <f>Inputs!D64</f>
        <v>0.4</v>
      </c>
      <c r="E34" s="176">
        <f t="shared" si="1"/>
        <v>2920570</v>
      </c>
      <c r="F34" s="260"/>
      <c r="G34" s="3"/>
      <c r="H34" s="2" t="s">
        <v>70</v>
      </c>
      <c r="I34" s="180">
        <f>SUM(I30:I33)</f>
        <v>8009951</v>
      </c>
      <c r="J34" s="3"/>
    </row>
    <row r="35" spans="2:10" ht="11.65" x14ac:dyDescent="0.35">
      <c r="B35" s="9" t="s">
        <v>62</v>
      </c>
      <c r="C35" s="175">
        <f>Inputs!C65</f>
        <v>21620835</v>
      </c>
      <c r="D35" s="258">
        <f>Inputs!D65</f>
        <v>0.1</v>
      </c>
      <c r="E35" s="176">
        <f t="shared" si="1"/>
        <v>2162083.5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805212</v>
      </c>
      <c r="D36" s="258">
        <f>Inputs!D66</f>
        <v>0.2</v>
      </c>
      <c r="E36" s="176">
        <f t="shared" si="1"/>
        <v>161042.40000000002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6765810</v>
      </c>
      <c r="D37" s="258">
        <f>Inputs!D67</f>
        <v>0.1</v>
      </c>
      <c r="E37" s="176">
        <f t="shared" si="1"/>
        <v>676581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60750263</v>
      </c>
      <c r="D38" s="258">
        <f>Inputs!D68</f>
        <v>0.1</v>
      </c>
      <c r="E38" s="176">
        <f t="shared" si="1"/>
        <v>6075026.3000000007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17178235</v>
      </c>
      <c r="D40" s="258">
        <f>Inputs!D70</f>
        <v>0.05</v>
      </c>
      <c r="E40" s="176">
        <f t="shared" si="1"/>
        <v>858911.75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4163174</v>
      </c>
      <c r="D41" s="258">
        <f>Inputs!D71</f>
        <v>0.9</v>
      </c>
      <c r="E41" s="176">
        <f t="shared" si="1"/>
        <v>3746856.6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37623092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16013360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2881955</v>
      </c>
      <c r="D44" s="185">
        <f>IF(E44=0,0,E44/C44)</f>
        <v>0.6</v>
      </c>
      <c r="E44" s="176">
        <f>SUM(E30:E31)</f>
        <v>1729173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29744206</v>
      </c>
      <c r="D45" s="185">
        <f>IF(E45=0,0,E45/C45)</f>
        <v>0.18469568493440369</v>
      </c>
      <c r="E45" s="176">
        <f>SUM(E32:E35)</f>
        <v>5493626.5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68321285</v>
      </c>
      <c r="D46" s="185">
        <f>IF(E46=0,0,E46/C46)</f>
        <v>0.10117856682584353</v>
      </c>
      <c r="E46" s="176">
        <f>E36+E37+E38+E39</f>
        <v>6912649.7000000011</v>
      </c>
      <c r="F46" s="3"/>
      <c r="G46" s="3"/>
      <c r="H46" s="183" t="s">
        <v>73</v>
      </c>
      <c r="I46" s="168">
        <f>(E44+E24)/E64</f>
        <v>5.8247828651384213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58964501</v>
      </c>
      <c r="D47" s="185">
        <f>IF(E47=0,0,E47/C47)</f>
        <v>7.8110867927127875E-2</v>
      </c>
      <c r="E47" s="176">
        <f>E40+E41+E42</f>
        <v>4605768.3499999996</v>
      </c>
      <c r="F47" s="3"/>
      <c r="G47" s="3"/>
      <c r="H47" s="183" t="s">
        <v>75</v>
      </c>
      <c r="I47" s="168">
        <f>(E44+E45+E24+E25)/$I$49</f>
        <v>0.47313491602419833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159911947</v>
      </c>
      <c r="D48" s="195">
        <f>E48/C48</f>
        <v>0.11719710691784649</v>
      </c>
      <c r="E48" s="196">
        <f>SUM(E30:E42)</f>
        <v>18741217.550000001</v>
      </c>
      <c r="F48" s="3"/>
      <c r="G48" s="3"/>
      <c r="H48" s="91" t="s">
        <v>77</v>
      </c>
      <c r="I48" s="197">
        <f>I49-I28</f>
        <v>24023311</v>
      </c>
      <c r="J48" s="187"/>
    </row>
    <row r="49" spans="2:11" ht="15" customHeight="1" thickTop="1" x14ac:dyDescent="0.35">
      <c r="B49" s="9" t="s">
        <v>13</v>
      </c>
      <c r="C49" s="184">
        <f>Inputs!C41+Inputs!C37</f>
        <v>479499893</v>
      </c>
      <c r="D49" s="170">
        <f>E49/C49</f>
        <v>0.39101101738931981</v>
      </c>
      <c r="E49" s="176">
        <f>E28+E48</f>
        <v>187489741</v>
      </c>
      <c r="F49" s="3"/>
      <c r="G49" s="3"/>
      <c r="H49" s="9" t="s">
        <v>78</v>
      </c>
      <c r="I49" s="175">
        <f>Inputs!C37</f>
        <v>279593282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39516717</v>
      </c>
      <c r="D53" s="34">
        <f>IF(E53=0, 0,E53/C53)</f>
        <v>1</v>
      </c>
      <c r="E53" s="176">
        <f>IF(C53=0,0,MAX(C53,C53*Dashboard!G23))</f>
        <v>39516717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21003076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33898507</v>
      </c>
      <c r="D61" s="170">
        <f t="shared" ref="D61:D70" si="2">IF(E61=0,0,E61/C61)</f>
        <v>0.26916841204835362</v>
      </c>
      <c r="E61" s="182">
        <f>E14+E15+(E19*G19)+(E20*G20)+E31+E32+(E35*G35)+(E36*G36)+(E37*G37)</f>
        <v>9124407.2999999989</v>
      </c>
      <c r="F61" s="3"/>
      <c r="G61" s="3"/>
      <c r="H61" s="2" t="s">
        <v>253</v>
      </c>
      <c r="I61" s="203">
        <f>C99*Data!$C$4/Common_Shares</f>
        <v>-3.4160137785879434</v>
      </c>
      <c r="K61" s="172"/>
    </row>
    <row r="62" spans="2:11" ht="11.65" x14ac:dyDescent="0.35">
      <c r="B62" s="12" t="s">
        <v>127</v>
      </c>
      <c r="C62" s="204">
        <f>C11+C30</f>
        <v>47742240</v>
      </c>
      <c r="D62" s="205">
        <f t="shared" si="2"/>
        <v>0.9</v>
      </c>
      <c r="E62" s="206">
        <f>E11+E30</f>
        <v>42968016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81640747</v>
      </c>
      <c r="D63" s="34">
        <f t="shared" si="2"/>
        <v>0.63806892041298935</v>
      </c>
      <c r="E63" s="184">
        <f>E61+E62</f>
        <v>52092423.299999997</v>
      </c>
      <c r="F63" s="3"/>
      <c r="G63" s="3"/>
      <c r="H63" s="2" t="s">
        <v>254</v>
      </c>
      <c r="I63" s="207">
        <f>IF(I61&gt;0,FV(I62,D93,0,-I61),I61)</f>
        <v>-3.4160137785879434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21003076</v>
      </c>
      <c r="F64" s="3"/>
      <c r="G64" s="3"/>
      <c r="H64" s="2" t="s">
        <v>255</v>
      </c>
      <c r="I64" s="207">
        <f>IF(I61&gt;0,PV(C94,D93,0,-I63),I61)</f>
        <v>-3.4160137785879434</v>
      </c>
      <c r="K64" s="172"/>
    </row>
    <row r="65" spans="1:11" ht="12" thickTop="1" x14ac:dyDescent="0.35">
      <c r="B65" s="9" t="s">
        <v>130</v>
      </c>
      <c r="C65" s="202">
        <f>C63-E64</f>
        <v>60637671</v>
      </c>
      <c r="D65" s="34">
        <f t="shared" si="2"/>
        <v>0.51270681718629985</v>
      </c>
      <c r="E65" s="184">
        <f>E63-E64</f>
        <v>31089347.299999997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397859146</v>
      </c>
      <c r="D68" s="34">
        <f t="shared" si="2"/>
        <v>0.34031470449092049</v>
      </c>
      <c r="E68" s="202">
        <f>E49-E63</f>
        <v>135397317.69999999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258590206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139268940</v>
      </c>
      <c r="D70" s="34">
        <f t="shared" si="2"/>
        <v>-0.88456829139361592</v>
      </c>
      <c r="E70" s="202">
        <f>E68-E69</f>
        <v>-123192888.30000001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234261514</v>
      </c>
      <c r="D74" s="98"/>
      <c r="E74" s="256">
        <f>Inputs!E91</f>
        <v>234261514</v>
      </c>
      <c r="F74" s="98"/>
      <c r="H74" s="256">
        <f>Inputs!F91</f>
        <v>234261514</v>
      </c>
      <c r="I74" s="98"/>
      <c r="K74" s="75"/>
    </row>
    <row r="75" spans="1:11" ht="15" customHeight="1" x14ac:dyDescent="0.35">
      <c r="B75" s="100" t="s">
        <v>97</v>
      </c>
      <c r="C75" s="97">
        <f>Data!C8</f>
        <v>183809908</v>
      </c>
      <c r="D75" s="101">
        <f>C75/$C$74</f>
        <v>0.78463553343209413</v>
      </c>
      <c r="E75" s="256">
        <f>Inputs!E92</f>
        <v>183809908</v>
      </c>
      <c r="F75" s="211">
        <f>E75/E74</f>
        <v>0.78463553343209413</v>
      </c>
      <c r="H75" s="256">
        <f>Inputs!F92</f>
        <v>183809908</v>
      </c>
      <c r="I75" s="211">
        <f>H75/$H$74</f>
        <v>0.78463553343209413</v>
      </c>
      <c r="K75" s="75"/>
    </row>
    <row r="76" spans="1:11" ht="15" customHeight="1" x14ac:dyDescent="0.35">
      <c r="B76" s="12" t="s">
        <v>87</v>
      </c>
      <c r="C76" s="145">
        <f>C74-C75</f>
        <v>50451606</v>
      </c>
      <c r="D76" s="212"/>
      <c r="E76" s="213">
        <f>E74-E75</f>
        <v>50451606</v>
      </c>
      <c r="F76" s="212"/>
      <c r="H76" s="213">
        <f>H74-H75</f>
        <v>50451606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37506984</v>
      </c>
      <c r="D77" s="101">
        <f>C77/$C$74</f>
        <v>0.16010732347610457</v>
      </c>
      <c r="E77" s="256">
        <f>Inputs!E93</f>
        <v>37506984</v>
      </c>
      <c r="F77" s="211">
        <f>E77/E74</f>
        <v>0.16010732347610457</v>
      </c>
      <c r="H77" s="256">
        <f>Inputs!F93</f>
        <v>37506984</v>
      </c>
      <c r="I77" s="211">
        <f>H77/$H$74</f>
        <v>0.16010732347610457</v>
      </c>
      <c r="K77" s="75"/>
    </row>
    <row r="78" spans="1:11" ht="15" customHeight="1" x14ac:dyDescent="0.35">
      <c r="B78" s="93" t="s">
        <v>150</v>
      </c>
      <c r="C78" s="97">
        <f>MAX(Data!C12,0)</f>
        <v>2932</v>
      </c>
      <c r="D78" s="101">
        <f>C78/$C$74</f>
        <v>1.2515926965280349E-5</v>
      </c>
      <c r="E78" s="214">
        <f>E74*F78</f>
        <v>2932</v>
      </c>
      <c r="F78" s="211">
        <f>I78</f>
        <v>1.2515926965280349E-5</v>
      </c>
      <c r="H78" s="256">
        <f>Inputs!F97</f>
        <v>2932</v>
      </c>
      <c r="I78" s="211">
        <f>H78/$H$74</f>
        <v>1.2515926965280349E-5</v>
      </c>
      <c r="K78" s="75"/>
    </row>
    <row r="79" spans="1:11" ht="15" customHeight="1" x14ac:dyDescent="0.35">
      <c r="B79" s="215" t="s">
        <v>203</v>
      </c>
      <c r="C79" s="216">
        <f>C76-C77-C78</f>
        <v>12941690</v>
      </c>
      <c r="D79" s="217">
        <f>C79/C74</f>
        <v>5.5244627164835962E-2</v>
      </c>
      <c r="E79" s="218">
        <f>E76-E77-E78</f>
        <v>12941690</v>
      </c>
      <c r="F79" s="217">
        <f>E79/E74</f>
        <v>5.5244627164835962E-2</v>
      </c>
      <c r="G79" s="219"/>
      <c r="H79" s="218">
        <f>H76-H77-H78</f>
        <v>12941690</v>
      </c>
      <c r="I79" s="217">
        <f>H79/H74</f>
        <v>5.5244627164835962E-2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20662</v>
      </c>
      <c r="D82" s="101">
        <f>C82/$C$74</f>
        <v>8.8200573996119572E-5</v>
      </c>
      <c r="E82" s="256">
        <f>Inputs!E95</f>
        <v>20662</v>
      </c>
      <c r="F82" s="211">
        <f>E82/E74</f>
        <v>8.8200573996119572E-5</v>
      </c>
      <c r="H82" s="256">
        <f>Inputs!F95</f>
        <v>20662</v>
      </c>
      <c r="I82" s="211">
        <f>H82/$H$74</f>
        <v>8.8200573996119572E-5</v>
      </c>
      <c r="K82" s="75"/>
    </row>
    <row r="83" spans="1:11" ht="15" customHeight="1" thickBot="1" x14ac:dyDescent="0.4">
      <c r="B83" s="221" t="s">
        <v>113</v>
      </c>
      <c r="C83" s="222">
        <f>C79-C81-C82-C80</f>
        <v>12921028</v>
      </c>
      <c r="D83" s="223">
        <f>C83/$C$74</f>
        <v>5.5156426590839844E-2</v>
      </c>
      <c r="E83" s="224">
        <f>E79-E81-E82-E80</f>
        <v>12921028</v>
      </c>
      <c r="F83" s="223">
        <f>E83/E74</f>
        <v>5.5156426590839844E-2</v>
      </c>
      <c r="H83" s="224">
        <f>H79-H81-H82-H80</f>
        <v>12921028</v>
      </c>
      <c r="I83" s="223">
        <f>H83/$H$74</f>
        <v>5.5156426590839844E-2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9690771</v>
      </c>
      <c r="D85" s="217">
        <f>C85/$C$74</f>
        <v>4.1367319943129879E-2</v>
      </c>
      <c r="E85" s="229">
        <f>E83*(1-F84)</f>
        <v>9690771</v>
      </c>
      <c r="F85" s="217">
        <f>E85/E74</f>
        <v>4.1367319943129879E-2</v>
      </c>
      <c r="G85" s="219"/>
      <c r="H85" s="229">
        <f>H83*(1-I84)</f>
        <v>9690771</v>
      </c>
      <c r="I85" s="217">
        <f>H85/$H$74</f>
        <v>4.1367319943129879E-2</v>
      </c>
      <c r="K85" s="75"/>
    </row>
    <row r="86" spans="1:11" ht="15" customHeight="1" x14ac:dyDescent="0.35">
      <c r="B86" s="3" t="s">
        <v>143</v>
      </c>
      <c r="C86" s="230">
        <f>C85*Data!C4/Common_Shares</f>
        <v>0.33767089074623169</v>
      </c>
      <c r="D86" s="98"/>
      <c r="E86" s="231">
        <f>E85*Data!C4/Common_Shares</f>
        <v>0.33767089074623169</v>
      </c>
      <c r="F86" s="98"/>
      <c r="H86" s="231">
        <f>H85*Data!C4/Common_Shares</f>
        <v>0.33767089074623169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7.3954626516946884E-2</v>
      </c>
      <c r="D87" s="98"/>
      <c r="E87" s="233">
        <f>E86*Exchange_Rate/Dashboard!G3</f>
        <v>7.3954626516946884E-2</v>
      </c>
      <c r="F87" s="98"/>
      <c r="H87" s="233">
        <f>H86*Exchange_Rate/Dashboard!G3</f>
        <v>7.3954626516946884E-2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</v>
      </c>
      <c r="D88" s="235">
        <f>C88/C86</f>
        <v>0.59229268936393198</v>
      </c>
      <c r="E88" s="255">
        <f>Inputs!E98</f>
        <v>0.2</v>
      </c>
      <c r="F88" s="235">
        <f>E88/E86</f>
        <v>0.59229268936393198</v>
      </c>
      <c r="H88" s="255">
        <f>Inputs!F98</f>
        <v>0.2</v>
      </c>
      <c r="I88" s="235">
        <f>H88/H86</f>
        <v>0.59229268936393198</v>
      </c>
      <c r="K88" s="75"/>
    </row>
    <row r="89" spans="1:11" ht="15" customHeight="1" x14ac:dyDescent="0.35">
      <c r="B89" s="3" t="s">
        <v>193</v>
      </c>
      <c r="C89" s="232">
        <f>C88*Exchange_Rate/Dashboard!G3</f>
        <v>4.3802784630627624E-2</v>
      </c>
      <c r="D89" s="98"/>
      <c r="E89" s="232">
        <f>E88*Exchange_Rate/Dashboard!G3</f>
        <v>4.3802784630627624E-2</v>
      </c>
      <c r="F89" s="98"/>
      <c r="H89" s="232">
        <f>H88*Exchange_Rate/Dashboard!G3</f>
        <v>4.3802784630627624E-2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7.968821522371214</v>
      </c>
      <c r="H93" s="3" t="s">
        <v>182</v>
      </c>
      <c r="I93" s="237">
        <f>FV(H87,D93,0,-(H86/(C93-D94)))*Exchange_Rate</f>
        <v>7.968821522371214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4.2117302083214359</v>
      </c>
      <c r="H94" s="3" t="s">
        <v>183</v>
      </c>
      <c r="I94" s="237">
        <f>FV(H89,D93,0,-(H88/(C93-D94)))*Exchange_Rate</f>
        <v>4.2117302083214359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130757752.18759842</v>
      </c>
      <c r="D97" s="244"/>
      <c r="E97" s="245">
        <f>PV(C94,D93,0,-F93)</f>
        <v>4.5561995689673589</v>
      </c>
      <c r="F97" s="244"/>
      <c r="H97" s="245">
        <f>PV(C94,D93,0,-I93)</f>
        <v>4.5561995689673589</v>
      </c>
      <c r="I97" s="245">
        <f>PV(C93,D93,0,-I93)</f>
        <v>5.8573217105497219</v>
      </c>
      <c r="K97" s="75"/>
    </row>
    <row r="98" spans="2:11" ht="15" customHeight="1" x14ac:dyDescent="0.35">
      <c r="B98" s="18" t="s">
        <v>132</v>
      </c>
      <c r="C98" s="243">
        <f>-E53*Exchange_Rate</f>
        <v>-42061896.530669212</v>
      </c>
      <c r="D98" s="244"/>
      <c r="E98" s="244"/>
      <c r="F98" s="244"/>
      <c r="H98" s="245">
        <f>C98*Data!$C$4/Common_Shares</f>
        <v>-1.4656293155608471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-98035715.154430717</v>
      </c>
      <c r="D99" s="248"/>
      <c r="E99" s="249">
        <f>IF(H99&gt;0,I64,H99)</f>
        <v>-3.4160137785879434</v>
      </c>
      <c r="F99" s="248"/>
      <c r="H99" s="249">
        <f>I64</f>
        <v>-3.4160137785879434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0.97567861640093101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2.0468598537445031</v>
      </c>
      <c r="E103" s="245">
        <f>PV(C94,D93,0,-F94)</f>
        <v>2.4080704161700037</v>
      </c>
      <c r="F103" s="251">
        <f>(E103+H103)/2</f>
        <v>2.4080704161700037</v>
      </c>
      <c r="H103" s="245">
        <f>PV(C94,D93,0,-I94)</f>
        <v>2.4080704161700037</v>
      </c>
      <c r="I103" s="251">
        <f>PV(C93,D93,0,-I94)</f>
        <v>3.0957474350408805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1.0234299268722515</v>
      </c>
      <c r="E106" s="245">
        <f>(E100+E103)/2</f>
        <v>1.2040352080850019</v>
      </c>
      <c r="F106" s="251">
        <f>(F100+F103)/2</f>
        <v>1.2040352080850019</v>
      </c>
      <c r="H106" s="245">
        <f>(H100+H103)/2</f>
        <v>1.2040352080850019</v>
      </c>
      <c r="I106" s="245">
        <f>(I100+I103)/2</f>
        <v>2.0357130257209057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