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317732E-B476-4D15-88CD-102A1BF59065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71" i="4"/>
  <c r="D69" i="4"/>
  <c r="D68" i="4"/>
  <c r="D67" i="4"/>
  <c r="D62" i="4"/>
  <c r="D63" i="4" s="1"/>
  <c r="D61" i="4"/>
  <c r="D60" i="4"/>
  <c r="D59" i="4"/>
  <c r="D58" i="4"/>
  <c r="D55" i="4"/>
  <c r="D50" i="4"/>
  <c r="D56" i="4" s="1"/>
  <c r="C44" i="4"/>
  <c r="E95" i="4" l="1"/>
  <c r="F96" i="4"/>
  <c r="E92" i="4"/>
  <c r="F97" i="4"/>
  <c r="F92" i="4"/>
  <c r="D53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<sst xmlns="http://schemas.openxmlformats.org/spreadsheetml/2006/main" count="406" uniqueCount="290">
  <si>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</si>
  <si>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</si>
  <si>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</si>
  <si>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</si>
  <si>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</si>
  <si>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</si>
  <si>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</si>
  <si>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</si>
  <si>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</si>
  <si>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</si>
  <si>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</si>
  <si>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</si>
  <si>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</si>
  <si>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</si>
  <si>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</si>
  <si>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</si>
  <si>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</si>
  <si>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</si>
  <si>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</si>
  <si>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</si>
  <si>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</si>
  <si>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</si>
  <si>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</si>
  <si>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</si>
  <si>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</si>
  <si>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</si>
  <si>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</si>
  <si>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</si>
  <si>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</si>
  <si>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</si>
  <si>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</si>
  <si>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</si>
  <si>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</si>
  <si>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</si>
  <si>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</si>
  <si>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</si>
  <si>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</si>
  <si>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</si>
  <si>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</si>
  <si>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</si>
  <si>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</si>
  <si>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</si>
  <si>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</si>
  <si>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</si>
  <si>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</si>
  <si>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</si>
  <si>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</si>
  <si>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</si>
  <si>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</si>
  <si>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</si>
  <si>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</si>
  <si>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</si>
  <si>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</si>
  <si>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</si>
  <si>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</si>
  <si>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</si>
  <si>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</si>
  <si>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</si>
  <si>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</si>
  <si>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</si>
  <si>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</si>
  <si>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</si>
  <si>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</si>
  <si>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</si>
  <si>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</si>
  <si>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</si>
  <si>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</si>
  <si>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</si>
  <si>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</si>
  <si>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</si>
  <si>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</si>
  <si>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</si>
  <si>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</si>
  <si>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</si>
  <si>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</si>
  <si>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</si>
  <si>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</si>
  <si>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</si>
  <si>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</si>
  <si>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</si>
  <si>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</si>
  <si>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</si>
  <si>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</si>
  <si>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</si>
  <si>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</si>
  <si>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</si>
  <si>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</si>
  <si>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</si>
  <si>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</si>
  <si>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</si>
  <si>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</si>
  <si>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</si>
  <si>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</si>
  <si>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</si>
  <si>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</si>
  <si>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</si>
  <si>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</si>
  <si>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</si>
  <si>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</si>
  <si>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</si>
  <si>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</si>
  <si>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</si>
  <si>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</si>
  <si>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</si>
  <si>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</si>
  <si>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</si>
  <si>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</si>
  <si>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</si>
  <si>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</si>
  <si>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</si>
  <si>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</si>
  <si>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</si>
  <si>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</si>
  <si>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</si>
  <si>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</si>
  <si>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</si>
  <si>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</si>
  <si>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</si>
  <si>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</si>
  <si>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</si>
  <si>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</si>
  <si>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</si>
  <si>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</si>
  <si>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</si>
  <si>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</si>
  <si>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</si>
  <si>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</si>
  <si>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</si>
  <si>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</si>
  <si>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</si>
  <si>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</si>
  <si>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</si>
  <si>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</si>
  <si>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</si>
  <si>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</si>
  <si>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</si>
  <si>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</si>
  <si>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</si>
  <si>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</si>
  <si>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</si>
  <si>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</si>
  <si>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</si>
  <si>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</si>
  <si>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</si>
  <si>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</si>
  <si>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</si>
  <si>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</si>
  <si>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</si>
  <si>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</si>
  <si>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</si>
  <si>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</si>
  <si>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</si>
  <si>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</si>
  <si>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</si>
  <si>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</si>
  <si>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</si>
  <si>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</si>
  <si>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</si>
  <si>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</si>
  <si>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</si>
  <si>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</si>
  <si>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</si>
  <si>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</si>
  <si>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</si>
  <si>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</si>
  <si>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</si>
  <si>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</si>
  <si>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</si>
  <si>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</si>
  <si>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</si>
  <si>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</si>
  <si>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</si>
  <si>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</si>
  <si>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</si>
  <si>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</si>
  <si>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</si>
  <si>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</si>
  <si>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</si>
  <si>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</si>
  <si>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</si>
  <si>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</si>
  <si>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</si>
  <si>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</si>
  <si>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</si>
  <si>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</si>
  <si>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</si>
  <si>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</si>
  <si>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</si>
  <si>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</si>
  <si>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</si>
  <si>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</si>
  <si>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</si>
  <si>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</si>
  <si>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</si>
  <si>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</si>
  <si>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</si>
  <si>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</si>
  <si>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</si>
  <si>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</si>
  <si>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</si>
  <si>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</si>
  <si>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</si>
  <si>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</si>
  <si>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</si>
  <si>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</si>
  <si>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</si>
  <si>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</si>
  <si>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</si>
  <si>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</si>
  <si>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</si>
  <si>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</si>
  <si>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</si>
  <si>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</si>
  <si>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</si>
  <si>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</si>
  <si>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</si>
  <si>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</si>
  <si>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</si>
  <si>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</si>
  <si>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</si>
  <si>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</si>
  <si>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</si>
  <si>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</si>
  <si>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</si>
  <si>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</si>
  <si>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</si>
  <si>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</si>
  <si>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</si>
  <si>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</si>
  <si>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</si>
  <si>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</si>
  <si>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</si>
  <si>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</si>
  <si>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</si>
  <si>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</si>
  <si>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</si>
  <si>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</si>
  <si>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</si>
  <si>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</si>
  <si>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</si>
  <si>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</si>
  <si>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</si>
  <si>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</si>
  <si>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</si>
  <si>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</si>
  <si>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</si>
  <si>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</si>
  <si>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</si>
  <si>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</si>
  <si>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</si>
  <si>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</si>
  <si>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</si>
  <si>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</si>
  <si>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</si>
  <si>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</si>
  <si>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</si>
  <si>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</si>
  <si>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</si>
  <si>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</si>
  <si>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</si>
  <si>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</si>
  <si>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</si>
  <si>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</si>
  <si>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</si>
  <si>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</si>
  <si>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</si>
  <si>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</si>
  <si>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</si>
  <si>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</si>
  <si>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</si>
  <si>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</si>
  <si>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</si>
  <si>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</si>
  <si>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</si>
  <si>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</si>
  <si>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</si>
  <si>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</si>
  <si>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</si>
  <si>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</si>
  <si>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</si>
  <si>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2888.HK</t>
  </si>
  <si>
    <t>Standard Chartered</t>
  </si>
  <si>
    <t xml:space="preserve">Superior Cycl. </t>
  </si>
  <si>
    <t>C0014</t>
  </si>
  <si>
    <t>USD</t>
  </si>
  <si>
    <t>UK Tax Rate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</si>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</sst>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280</v>
      </c>
      <c r="D4" s="66"/>
    </row>
    <row r="5" spans="1:5" x14ac:dyDescent="0.35">
      <c r="B5" s="46" t="s">
        <v>168</v>
      </c>
      <c r="C5" s="67" t="s">
        <v>281</v>
      </c>
    </row>
    <row r="6" spans="1:5" x14ac:dyDescent="0.35">
      <c r="B6" s="46" t="s">
        <v>267</v>
      </c>
      <c r="C6" s="68">
        <v>45606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282</v>
      </c>
    </row>
    <row r="9" spans="1:5" x14ac:dyDescent="0.35">
      <c r="B9" s="39" t="s">
        <v>189</v>
      </c>
      <c r="C9" s="119" t="s">
        <v>283</v>
      </c>
    </row>
    <row r="10" spans="1:5" x14ac:dyDescent="0.35">
      <c r="B10" s="39" t="s">
        <v>190</v>
      </c>
      <c r="C10" s="70">
        <v>2454657755</v>
      </c>
    </row>
    <row r="11" spans="1:5" x14ac:dyDescent="0.35">
      <c r="B11" s="39" t="s">
        <v>191</v>
      </c>
      <c r="C11" s="69" t="s">
        <v>284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220</v>
      </c>
      <c r="C15" s="117" t="s">
        <v>164</v>
      </c>
    </row>
    <row r="16" spans="1:5" x14ac:dyDescent="0.35">
      <c r="B16" s="74" t="s">
        <v>88</v>
      </c>
      <c r="C16" s="120">
        <v>0.23499999999999999</v>
      </c>
      <c r="D16" s="75" t="s">
        <v>285</v>
      </c>
      <c r="E16" s="25" t="s">
        <v>250</v>
      </c>
    </row>
    <row r="17" spans="2:13" x14ac:dyDescent="0.35">
      <c r="B17" s="56" t="s">
        <v>196</v>
      </c>
      <c r="C17" s="121" t="s">
        <v>286</v>
      </c>
      <c r="D17" s="75"/>
    </row>
    <row r="18" spans="2:13" x14ac:dyDescent="0.35">
      <c r="B18" s="56" t="s">
        <v>209</v>
      </c>
      <c r="C18" s="121" t="s">
        <v>287</v>
      </c>
      <c r="D18" s="75"/>
    </row>
    <row r="19" spans="2:13" x14ac:dyDescent="0.35">
      <c r="B19" s="56" t="s">
        <v>210</v>
      </c>
      <c r="C19" s="121" t="s">
        <v>287</v>
      </c>
      <c r="D19" s="75"/>
    </row>
    <row r="20" spans="2:13" x14ac:dyDescent="0.35">
      <c r="B20" s="57" t="s">
        <v>199</v>
      </c>
      <c r="C20" s="121" t="s">
        <v>287</v>
      </c>
      <c r="D20" s="75"/>
    </row>
    <row r="21" spans="2:13" x14ac:dyDescent="0.35">
      <c r="B21" s="2" t="s">
        <v>202</v>
      </c>
      <c r="C21" s="121" t="s">
        <v>286</v>
      </c>
      <c r="D21" s="75"/>
    </row>
    <row r="22" spans="2:13" ht="69.75" x14ac:dyDescent="0.35">
      <c r="B22" s="59" t="s">
        <v>201</v>
      </c>
      <c r="C22" s="122" t="s">
        <v>288</v>
      </c>
      <c r="D22" s="75"/>
    </row>
    <row r="24" spans="2:13" x14ac:dyDescent="0.35">
      <c r="B24" s="76" t="s">
        <v>276</v>
      </c>
      <c r="C24" s="286">
        <f>C12</f>
        <v>45291</v>
      </c>
      <c r="D24" s="287">
        <f>EOMONTH(EDATE(C24,-12),0)</f>
        <v>44926</v>
      </c>
      <c r="E24" s="287">
        <f t="shared" ref="E24:M24" si="0">EOMONTH(EDATE(D24,-12),0)</f>
        <v>44561</v>
      </c>
      <c r="F24" s="287">
        <f t="shared" si="0"/>
        <v>44196</v>
      </c>
      <c r="G24" s="287">
        <f t="shared" si="0"/>
        <v>43830</v>
      </c>
      <c r="H24" s="287">
        <f t="shared" si="0"/>
        <v>43465</v>
      </c>
      <c r="I24" s="287">
        <f t="shared" si="0"/>
        <v>43100</v>
      </c>
      <c r="J24" s="287">
        <f t="shared" si="0"/>
        <v>42735</v>
      </c>
      <c r="K24" s="287">
        <f t="shared" si="0"/>
        <v>42369</v>
      </c>
      <c r="L24" s="287">
        <f t="shared" si="0"/>
        <v>42004</v>
      </c>
      <c r="M24" s="287">
        <f t="shared" si="0"/>
        <v>41639</v>
      </c>
    </row>
    <row r="25" spans="2:13" x14ac:dyDescent="0.35">
      <c r="B25" s="263" t="s">
        <v>11</v>
      </c>
      <c r="C25" s="77">
        <v>38292</v>
      </c>
      <c r="D25" s="77">
        <v>24836</v>
      </c>
      <c r="E25" s="77"/>
      <c r="F25" s="77"/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1323</v>
      </c>
      <c r="D26" s="78">
        <v>1695</v>
      </c>
      <c r="E26" s="78"/>
      <c r="F26" s="78"/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v>11551</v>
      </c>
      <c r="D27" s="78">
        <v>10913</v>
      </c>
      <c r="E27" s="78"/>
      <c r="F27" s="78"/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221</v>
      </c>
      <c r="C29" s="78">
        <v>19458</v>
      </c>
      <c r="D29" s="78">
        <v>7659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274</v>
      </c>
      <c r="C30" s="302"/>
      <c r="D30" s="302">
        <v>-46</v>
      </c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>
        <v>-7</v>
      </c>
      <c r="D31" s="78">
        <v>-46</v>
      </c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242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247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0.21+0.09</f>
        <v>0.3</v>
      </c>
      <c r="D44" s="81"/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217</v>
      </c>
      <c r="C45" s="82">
        <f>IF(C44="","",C44*Exchange_Rate/Dashboard!$G$3)</f>
        <v>2.4667545096584101E-2</v>
      </c>
      <c r="D45" s="82" t="str">
        <f>IF(D44="","",D44*Exchange_Rate/Dashboard!$G$3)</f>
        <v/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/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/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225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224</v>
      </c>
      <c r="C64" s="86"/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/>
      <c r="D68" s="109">
        <f>D65</f>
        <v>0.1</v>
      </c>
      <c r="E68" s="260"/>
    </row>
    <row r="69" spans="2:5" x14ac:dyDescent="0.35">
      <c r="B69" s="9" t="s">
        <v>65</v>
      </c>
      <c r="C69" s="86"/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/>
      <c r="D72" s="111">
        <v>0</v>
      </c>
      <c r="E72" s="262"/>
    </row>
    <row r="73" spans="2:5" x14ac:dyDescent="0.35">
      <c r="B73" s="9" t="s">
        <v>31</v>
      </c>
      <c r="C73" s="86"/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/>
    </row>
    <row r="78" spans="2:5" ht="12" thickTop="1" x14ac:dyDescent="0.35">
      <c r="B78" s="9" t="s">
        <v>54</v>
      </c>
      <c r="C78" s="86"/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275</v>
      </c>
      <c r="C82" s="79"/>
    </row>
    <row r="83" spans="2:8" hidden="1" x14ac:dyDescent="0.35">
      <c r="B83" s="300" t="s">
        <v>245</v>
      </c>
      <c r="C83" s="79"/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246</v>
      </c>
      <c r="C86" s="79">
        <v>5</v>
      </c>
      <c r="D86" s="297"/>
    </row>
    <row r="87" spans="2:8" x14ac:dyDescent="0.35">
      <c r="B87" s="95" t="s">
        <v>216</v>
      </c>
      <c r="C87" s="107" t="s">
        <v>289</v>
      </c>
      <c r="D87" s="108">
        <v>0.02</v>
      </c>
    </row>
    <row r="89" spans="2:8" x14ac:dyDescent="0.35">
      <c r="B89" s="94" t="s">
        <v>115</v>
      </c>
      <c r="C89" s="310">
        <f>C24</f>
        <v>45291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1000000USD)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38292</v>
      </c>
      <c r="D91" s="98"/>
      <c r="E91" s="99">
        <f>C91</f>
        <v>38292</v>
      </c>
      <c r="F91" s="99">
        <f>C91</f>
        <v>38292</v>
      </c>
    </row>
    <row r="92" spans="2:8" x14ac:dyDescent="0.35">
      <c r="B92" s="100" t="s">
        <v>97</v>
      </c>
      <c r="C92" s="97">
        <f>C26</f>
        <v>1323</v>
      </c>
      <c r="D92" s="101">
        <f>C92/C91</f>
        <v>3.4550297712315887E-2</v>
      </c>
      <c r="E92" s="102">
        <f>E91*D92</f>
        <v>1323</v>
      </c>
      <c r="F92" s="102">
        <f>F91*D92</f>
        <v>1323</v>
      </c>
    </row>
    <row r="93" spans="2:8" x14ac:dyDescent="0.35">
      <c r="B93" s="100" t="s">
        <v>215</v>
      </c>
      <c r="C93" s="97">
        <f>C27+C28</f>
        <v>11551</v>
      </c>
      <c r="D93" s="101">
        <f>C93/C91</f>
        <v>0.30165569831818656</v>
      </c>
      <c r="E93" s="102">
        <f>E91*D93</f>
        <v>11551</v>
      </c>
      <c r="F93" s="102">
        <f>F91*D93</f>
        <v>11551</v>
      </c>
    </row>
    <row r="94" spans="2:8" x14ac:dyDescent="0.35">
      <c r="B94" s="100" t="s">
        <v>221</v>
      </c>
      <c r="C94" s="97">
        <f>C29</f>
        <v>19458</v>
      </c>
      <c r="D94" s="101">
        <f>C94/C91</f>
        <v>0.50814791601378884</v>
      </c>
      <c r="E94" s="103"/>
      <c r="F94" s="102">
        <f>F91*D94</f>
        <v>19458.000000000004</v>
      </c>
    </row>
    <row r="95" spans="2:8" x14ac:dyDescent="0.35">
      <c r="B95" s="18" t="s">
        <v>214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0.3</v>
      </c>
      <c r="D98" s="105"/>
      <c r="E98" s="106">
        <f>F98</f>
        <v>0.3</v>
      </c>
      <c r="F98" s="106">
        <f>C98</f>
        <v>0.3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2888.HK : Standard Chartered</v>
      </c>
      <c r="D2" s="3"/>
      <c r="E2" s="7"/>
      <c r="F2" s="7"/>
      <c r="G2" s="312" t="str">
        <f>IF(Inputs!D4="","",Inputs!D4)</f>
        <v/>
      </c>
      <c r="H2" s="312"/>
    </row>
    <row r="3" spans="1:10" ht="15.75" customHeight="1" x14ac:dyDescent="0.35">
      <c r="B3" s="9" t="s">
        <v>167</v>
      </c>
      <c r="C3" s="317" t="str">
        <f>Inputs!C4</f>
        <v>2888.HK</v>
      </c>
      <c r="D3" s="318"/>
      <c r="E3" s="3"/>
      <c r="F3" s="9" t="s">
        <v>1</v>
      </c>
      <c r="G3" s="10">
        <v>94.5</v>
      </c>
      <c r="H3" s="11" t="s">
        <v>255</v>
      </c>
    </row>
    <row r="4" spans="1:10" ht="15.75" customHeight="1" x14ac:dyDescent="0.35">
      <c r="B4" s="12" t="s">
        <v>168</v>
      </c>
      <c r="C4" s="312" t="str">
        <f>Inputs!C5</f>
        <v>Standard Chartered</v>
      </c>
      <c r="D4" s="319"/>
      <c r="E4" s="3"/>
      <c r="F4" s="9" t="s">
        <v>2</v>
      </c>
      <c r="G4" s="322">
        <f>Inputs!C10</f>
        <v>2454657755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45606</v>
      </c>
      <c r="D5" s="321"/>
      <c r="E5" s="16"/>
      <c r="F5" s="12" t="s">
        <v>91</v>
      </c>
      <c r="G5" s="315">
        <f>G3*G4/1000000</f>
        <v>231965.1578475</v>
      </c>
      <c r="H5" s="315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6" t="str">
        <f>Inputs!C11</f>
        <v>USD</v>
      </c>
      <c r="H6" s="316"/>
      <c r="I6" s="17"/>
    </row>
    <row r="7" spans="1:10" ht="15.75" customHeight="1" x14ac:dyDescent="0.35">
      <c r="B7" s="8" t="s">
        <v>165</v>
      </c>
      <c r="C7" s="123" t="str">
        <f>Inputs!C8</f>
        <v xml:space="preserve">Superior Cycl. </v>
      </c>
      <c r="D7" s="123" t="str">
        <f>Inputs!C9</f>
        <v>C0014</v>
      </c>
      <c r="E7" s="3"/>
      <c r="F7" s="12" t="s">
        <v>5</v>
      </c>
      <c r="G7" s="21">
        <v>7.7702767054239912</v>
      </c>
      <c r="H7" s="22" t="str">
        <f>IF(G6=Dashboard!H3,H3,G6&amp;"/"&amp;Dashboard!H3)</f>
        <v>USD/HKD</v>
      </c>
    </row>
    <row r="8" spans="1:10" ht="15.75" customHeight="1" x14ac:dyDescent="0.35"/>
    <row r="9" spans="1:10" ht="15.75" customHeight="1" x14ac:dyDescent="0.35">
      <c r="B9" s="83" t="s">
        <v>256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218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HK</v>
      </c>
      <c r="F16" s="25" t="s">
        <v>155</v>
      </c>
    </row>
    <row r="17" spans="1:8" ht="15.75" customHeight="1" thickTop="1" x14ac:dyDescent="0.35">
      <c r="B17" s="3" t="s">
        <v>219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241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232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237</v>
      </c>
      <c r="C21" s="33">
        <f>Data!C13</f>
        <v>0.6637940039694975</v>
      </c>
      <c r="F21" s="3"/>
      <c r="G21" s="34"/>
    </row>
    <row r="22" spans="1:8" ht="15.75" customHeight="1" x14ac:dyDescent="0.35">
      <c r="B22" s="35" t="s">
        <v>243</v>
      </c>
      <c r="C22" s="36" t="e">
        <f>Data!C50</f>
        <v>#DIV/0!</v>
      </c>
      <c r="F22" s="83" t="s">
        <v>257</v>
      </c>
      <c r="G22" s="285"/>
      <c r="H22" s="285"/>
    </row>
    <row r="23" spans="1:8" ht="15.75" customHeight="1" thickBot="1" x14ac:dyDescent="0.4">
      <c r="B23" s="37" t="s">
        <v>249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238</v>
      </c>
      <c r="C24" s="42">
        <f>Fin_Analysis!I81</f>
        <v>0.50814791601378884</v>
      </c>
      <c r="F24" s="39" t="s">
        <v>223</v>
      </c>
      <c r="G24" s="43">
        <f>G3/(Fin_Analysis!H86*G7)</f>
        <v>6.547546288406096</v>
      </c>
    </row>
    <row r="25" spans="1:8" ht="15.75" customHeight="1" x14ac:dyDescent="0.35">
      <c r="B25" s="28" t="s">
        <v>239</v>
      </c>
      <c r="C25" s="44">
        <f>Fin_Analysis!I80</f>
        <v>0</v>
      </c>
      <c r="F25" s="39" t="s">
        <v>151</v>
      </c>
      <c r="G25" s="44">
        <f>Fin_Analysis!I88</f>
        <v>0.1615118933412292</v>
      </c>
    </row>
    <row r="26" spans="1:8" ht="15.75" customHeight="1" x14ac:dyDescent="0.35">
      <c r="B26" s="45" t="s">
        <v>240</v>
      </c>
      <c r="C26" s="44">
        <f>Fin_Analysis!I80+Fin_Analysis!I82</f>
        <v>0</v>
      </c>
      <c r="F26" s="46" t="s">
        <v>166</v>
      </c>
      <c r="G26" s="47">
        <f>Fin_Analysis!H88*Exchange_Rate/G3</f>
        <v>2.4667545096584101E-2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3" t="s">
        <v>222</v>
      </c>
      <c r="H28" s="313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22.706726930107102</v>
      </c>
      <c r="D29" s="54">
        <f>G29*(1+G20)</f>
        <v>40.233791060118314</v>
      </c>
      <c r="E29" s="3"/>
      <c r="F29" s="55">
        <f>IF(Fin_Analysis!C108="Profit",Fin_Analysis!F100,IF(Fin_Analysis!C108="Dividend",Fin_Analysis!F103,Fin_Analysis!F106))</f>
        <v>26.713796388361295</v>
      </c>
      <c r="G29" s="314">
        <f>IF(Fin_Analysis!C108="Profit",Fin_Analysis!I100,IF(Fin_Analysis!C108="Dividend",Fin_Analysis!I103,Fin_Analysis!I106))</f>
        <v>34.985905269668102</v>
      </c>
      <c r="H29" s="314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Strongly agree</v>
      </c>
    </row>
    <row r="34" spans="1:4" ht="15.75" customHeight="1" x14ac:dyDescent="0.35">
      <c r="B34" s="57" t="s">
        <v>197</v>
      </c>
      <c r="C34" s="58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4" ht="15.75" customHeight="1" x14ac:dyDescent="0.35">
      <c r="B35" s="83" t="s">
        <v>256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agree</v>
      </c>
    </row>
    <row r="37" spans="1:4" ht="15.75" customHeight="1" x14ac:dyDescent="0.35">
      <c r="B37" s="56" t="s">
        <v>210</v>
      </c>
      <c r="C37" s="112" t="str">
        <f>Inputs!C19</f>
        <v>agree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agree</v>
      </c>
    </row>
    <row r="40" spans="1:4" ht="15.75" customHeight="1" x14ac:dyDescent="0.35">
      <c r="B40" s="2" t="s">
        <v>202</v>
      </c>
      <c r="C40" s="112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45291</v>
      </c>
      <c r="E3" s="138" t="s">
        <v>173</v>
      </c>
      <c r="F3" s="139" t="str">
        <f>H14</f>
        <v/>
      </c>
      <c r="G3" s="139">
        <f>C14</f>
        <v>25418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1000000</v>
      </c>
      <c r="D4" s="2" t="str">
        <f>Dashboard!G6</f>
        <v>USD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45291</v>
      </c>
      <c r="D5" s="287">
        <f>EOMONTH(EDATE(C5,-12),0)</f>
        <v>44926</v>
      </c>
      <c r="E5" s="287">
        <f t="shared" ref="E5:M5" si="0">EOMONTH(EDATE(D5,-12),0)</f>
        <v>44561</v>
      </c>
      <c r="F5" s="287">
        <f t="shared" si="0"/>
        <v>44196</v>
      </c>
      <c r="G5" s="287">
        <f t="shared" si="0"/>
        <v>43830</v>
      </c>
      <c r="H5" s="287">
        <f t="shared" si="0"/>
        <v>43465</v>
      </c>
      <c r="I5" s="287">
        <f t="shared" si="0"/>
        <v>43100</v>
      </c>
      <c r="J5" s="287">
        <f t="shared" si="0"/>
        <v>42735</v>
      </c>
      <c r="K5" s="287">
        <f t="shared" si="0"/>
        <v>42369</v>
      </c>
      <c r="L5" s="287">
        <f t="shared" si="0"/>
        <v>42004</v>
      </c>
      <c r="M5" s="287">
        <f t="shared" si="0"/>
        <v>41639</v>
      </c>
    </row>
    <row r="6" spans="1:14" ht="15.75" customHeight="1" x14ac:dyDescent="0.35">
      <c r="A6" s="135"/>
      <c r="B6" s="263" t="s">
        <v>11</v>
      </c>
      <c r="C6" s="142">
        <f>IF(Inputs!C25=""," ",Inputs!C25)</f>
        <v>38292</v>
      </c>
      <c r="D6" s="142">
        <f>IF(Inputs!D25="","",Inputs!D25)</f>
        <v>24836</v>
      </c>
      <c r="E6" s="142" t="str">
        <f>IF(Inputs!E25="","",Inputs!E25)</f>
        <v/>
      </c>
      <c r="F6" s="142" t="str">
        <f>IF(Inputs!F25="","",Inputs!F25)</f>
        <v/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0.54179416975358352</v>
      </c>
      <c r="D7" s="143" t="str">
        <f t="shared" si="1"/>
        <v/>
      </c>
      <c r="E7" s="143" t="str">
        <f t="shared" si="1"/>
        <v/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1323</v>
      </c>
      <c r="D8" s="144">
        <f>IF(Inputs!D26="","",Inputs!D26)</f>
        <v>1695</v>
      </c>
      <c r="E8" s="144" t="str">
        <f>IF(Inputs!E26="","",Inputs!E26)</f>
        <v/>
      </c>
      <c r="F8" s="144" t="str">
        <f>IF(Inputs!F26="","",Inputs!F26)</f>
        <v/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36969</v>
      </c>
      <c r="D9" s="273">
        <f t="shared" si="2"/>
        <v>23141</v>
      </c>
      <c r="E9" s="273" t="str">
        <f t="shared" si="2"/>
        <v/>
      </c>
      <c r="F9" s="273" t="str">
        <f t="shared" si="2"/>
        <v/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11551</v>
      </c>
      <c r="D10" s="144">
        <f>IF(Inputs!D27="","",Inputs!D27)</f>
        <v>10913</v>
      </c>
      <c r="E10" s="144" t="str">
        <f>IF(Inputs!E27="","",Inputs!E27)</f>
        <v/>
      </c>
      <c r="F10" s="144" t="str">
        <f>IF(Inputs!F27="","",Inputs!F27)</f>
        <v/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>
        <f>IF(Inputs!C31="","",MAX(Inputs!C31,0)/(1-Fin_Analysis!$I$84))</f>
        <v>0</v>
      </c>
      <c r="D12" s="144">
        <f>IF(Inputs!D31="","",MAX(Inputs!D31,0)/(1-Fin_Analysis!$I$84))</f>
        <v>0</v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0.6637940039694975</v>
      </c>
      <c r="D13" s="292">
        <f t="shared" si="3"/>
        <v>0.49234981478498951</v>
      </c>
      <c r="E13" s="292" t="str">
        <f t="shared" si="3"/>
        <v/>
      </c>
      <c r="F13" s="292" t="str">
        <f t="shared" si="3"/>
        <v/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25418</v>
      </c>
      <c r="D14" s="294">
        <f t="shared" ref="D14:M14" si="4">IF(D6="","",D9-D10-MAX(D11,0)-MAX(D12,0))</f>
        <v>12228</v>
      </c>
      <c r="E14" s="294" t="str">
        <f t="shared" si="4"/>
        <v/>
      </c>
      <c r="F14" s="294" t="str">
        <f t="shared" si="4"/>
        <v/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1.0786719005561007</v>
      </c>
      <c r="D15" s="296" t="str">
        <f t="shared" ref="D15:M15" si="5">IF(E14="","",IF(ABS(D14+E14)=ABS(D14)+ABS(E14),IF(D14&lt;0,-1,1)*(D14-E14)/E14,"Turn"))</f>
        <v/>
      </c>
      <c r="E15" s="296" t="str">
        <f t="shared" si="5"/>
        <v/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277</v>
      </c>
      <c r="C16" s="147" t="str">
        <f>IF(C17="","",C17-C14)</f>
        <v/>
      </c>
      <c r="D16" s="147">
        <f t="shared" ref="D16:M16" si="6">IF(D17="","",D17-D14)</f>
        <v>-12274</v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274</v>
      </c>
      <c r="C17" s="307" t="str">
        <f>IF(Inputs!C30="","",Inputs!C30)</f>
        <v/>
      </c>
      <c r="D17" s="307">
        <f>IF(Inputs!D30="","",Inputs!D30)</f>
        <v>-46</v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221</v>
      </c>
      <c r="C19" s="144">
        <f>IF(Inputs!C29="","",Inputs!C29)</f>
        <v>19458</v>
      </c>
      <c r="D19" s="144">
        <f>IF(Inputs!D29="","",Inputs!D29)</f>
        <v>7659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 t="str">
        <f t="shared" si="8"/>
        <v/>
      </c>
      <c r="F22" s="227" t="str">
        <f t="shared" si="8"/>
        <v/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278</v>
      </c>
      <c r="C24" s="309">
        <f t="shared" ref="C24:M24" si="9">IF(C6="","",C14-MAX(C18,0)-MAX(C19,0)-ABS(MAX(C23,0)-MAX(C21,0)))</f>
        <v>5960</v>
      </c>
      <c r="D24" s="309">
        <f t="shared" si="9"/>
        <v>4569</v>
      </c>
      <c r="E24" s="309" t="str">
        <f t="shared" si="9"/>
        <v/>
      </c>
      <c r="F24" s="309" t="str">
        <f t="shared" si="9"/>
        <v/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0.1190692572861172</v>
      </c>
      <c r="D25" s="143">
        <f t="shared" si="10"/>
        <v>0.14073461910130455</v>
      </c>
      <c r="E25" s="143" t="str">
        <f t="shared" si="10"/>
        <v/>
      </c>
      <c r="F25" s="143" t="str">
        <f t="shared" si="10"/>
        <v/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279</v>
      </c>
      <c r="C26" s="275">
        <f>IF(C6="","",C24*(1-Fin_Analysis!$I$84))</f>
        <v>4559.3999999999996</v>
      </c>
      <c r="D26" s="276">
        <f>IF(D6="","",D24*(1-Fin_Analysis!$I$84))</f>
        <v>3495.2849999999999</v>
      </c>
      <c r="E26" s="276" t="str">
        <f>IF(E6="","",E24*(1-Fin_Analysis!$I$84))</f>
        <v/>
      </c>
      <c r="F26" s="276" t="str">
        <f>IF(F6="","",F24*(1-Fin_Analysis!$I$84))</f>
        <v/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0.3044429853359597</v>
      </c>
      <c r="D27" s="305" t="str">
        <f t="shared" si="11"/>
        <v/>
      </c>
      <c r="E27" s="305" t="str">
        <f t="shared" si="11"/>
        <v/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44926</v>
      </c>
      <c r="E28" s="287">
        <f t="shared" ref="E28" si="12">EOMONTH(EDATE(D28,-12),0)</f>
        <v>44561</v>
      </c>
      <c r="F28" s="287">
        <f t="shared" ref="F28" si="13">EOMONTH(EDATE(E28,-12),0)</f>
        <v>44196</v>
      </c>
      <c r="G28" s="287">
        <f t="shared" ref="G28" si="14">EOMONTH(EDATE(F28,-12),0)</f>
        <v>43830</v>
      </c>
      <c r="H28" s="287">
        <f t="shared" ref="H28" si="15">EOMONTH(EDATE(G28,-12),0)</f>
        <v>43465</v>
      </c>
      <c r="I28" s="287">
        <f t="shared" ref="I28" si="16">EOMONTH(EDATE(H28,-12),0)</f>
        <v>43100</v>
      </c>
      <c r="J28" s="287">
        <f t="shared" ref="J28" si="17">EOMONTH(EDATE(I28,-12),0)</f>
        <v>42735</v>
      </c>
      <c r="K28" s="287">
        <f t="shared" ref="K28" si="18">EOMONTH(EDATE(J28,-12),0)</f>
        <v>42369</v>
      </c>
      <c r="L28" s="287">
        <f t="shared" ref="L28" si="19">EOMONTH(EDATE(K28,-12),0)</f>
        <v>42004</v>
      </c>
      <c r="M28" s="287">
        <f t="shared" ref="M28" si="20">EOMONTH(EDATE(L28,-12),0)</f>
        <v>41639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0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242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0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0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0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str">
        <f>IF(E6="","",E14/MAX(E39,0))</f>
        <v/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227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3.4550297712315887E-2</v>
      </c>
      <c r="D42" s="150">
        <f t="shared" si="35"/>
        <v>6.8247704944435494E-2</v>
      </c>
      <c r="E42" s="150" t="str">
        <f t="shared" si="35"/>
        <v/>
      </c>
      <c r="F42" s="150" t="str">
        <f t="shared" si="35"/>
        <v/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0.30165569831818656</v>
      </c>
      <c r="D43" s="146">
        <f t="shared" si="36"/>
        <v>0.43940248027057499</v>
      </c>
      <c r="E43" s="146" t="str">
        <f t="shared" si="36"/>
        <v/>
      </c>
      <c r="F43" s="146" t="str">
        <f t="shared" si="36"/>
        <v/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 t="str">
        <f t="shared" si="37"/>
        <v/>
      </c>
      <c r="F44" s="146" t="str">
        <f t="shared" si="37"/>
        <v/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0.50814791601378884</v>
      </c>
      <c r="D45" s="146">
        <f t="shared" si="38"/>
        <v>0.30838299243034306</v>
      </c>
      <c r="E45" s="146" t="str">
        <f t="shared" si="38"/>
        <v/>
      </c>
      <c r="F45" s="146" t="str">
        <f t="shared" si="38"/>
        <v/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 t="str">
        <f t="shared" si="39"/>
        <v/>
      </c>
      <c r="F46" s="146" t="str">
        <f t="shared" si="39"/>
        <v/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 t="str">
        <f t="shared" si="40"/>
        <v/>
      </c>
      <c r="F47" s="146" t="str">
        <f t="shared" si="40"/>
        <v/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0.15564608795570875</v>
      </c>
      <c r="D48" s="281">
        <f t="shared" si="41"/>
        <v>0.18396682235464648</v>
      </c>
      <c r="E48" s="281" t="str">
        <f t="shared" si="41"/>
        <v/>
      </c>
      <c r="F48" s="281" t="str">
        <f t="shared" si="41"/>
        <v/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228</v>
      </c>
      <c r="C49" s="151" t="s">
        <v>244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234</v>
      </c>
      <c r="C50" s="153" t="e">
        <f t="shared" ref="C50:M50" si="42">IF(C6="","",C6/C29)</f>
        <v>#DIV/0!</v>
      </c>
      <c r="D50" s="153" t="e">
        <f t="shared" si="42"/>
        <v>#VALUE!</v>
      </c>
      <c r="E50" s="153" t="str">
        <f t="shared" si="42"/>
        <v/>
      </c>
      <c r="F50" s="153" t="str">
        <f t="shared" si="42"/>
        <v/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235</v>
      </c>
      <c r="C51" s="146">
        <f t="shared" ref="C51:M51" si="43">IF(C30="","",C30/C6)</f>
        <v>0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236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226</v>
      </c>
      <c r="C53" s="146" t="e">
        <f t="shared" ref="C53:M53" si="45">IF(D6="","",C18/(C6-D6))</f>
        <v>#VALUE!</v>
      </c>
      <c r="D53" s="146" t="str">
        <f t="shared" si="45"/>
        <v/>
      </c>
      <c r="E53" s="146" t="str">
        <f t="shared" si="45"/>
        <v/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229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230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 t="str">
        <f t="shared" ref="C56:M56" si="47">IF(OR(C24="",C35=""),"",IF(C35&lt;=0,"-",C24/C35))</f>
        <v>-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3.2647651006711409</v>
      </c>
      <c r="D57" s="146">
        <f t="shared" si="48"/>
        <v>1.6762967826657913</v>
      </c>
      <c r="E57" s="146" t="str">
        <f t="shared" si="48"/>
        <v/>
      </c>
      <c r="F57" s="146" t="str">
        <f t="shared" si="48"/>
        <v/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248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231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232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str">
        <f t="shared" si="50"/>
        <v/>
      </c>
      <c r="F60" s="156" t="str">
        <f t="shared" si="50"/>
        <v/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233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str">
        <f t="shared" si="51"/>
        <v/>
      </c>
      <c r="F61" s="156" t="str">
        <f t="shared" si="51"/>
        <v/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260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USD</v>
      </c>
      <c r="C6" s="3"/>
      <c r="D6" s="169">
        <f>(E49-I49-E53)</f>
        <v>0</v>
      </c>
      <c r="E6" s="170" t="e">
        <f>1-D6/D3</f>
        <v>#DIV/0!</v>
      </c>
      <c r="F6" s="3"/>
      <c r="G6" s="3"/>
      <c r="H6" s="2" t="s">
        <v>24</v>
      </c>
      <c r="I6" s="168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0</v>
      </c>
      <c r="E7" s="167" t="str">
        <f>Dashboard!H3</f>
        <v>HKD</v>
      </c>
      <c r="H7" s="2" t="s">
        <v>25</v>
      </c>
      <c r="I7" s="168" t="e">
        <f>C24/I28</f>
        <v>#DIV/0!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259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272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0</v>
      </c>
      <c r="D11" s="258">
        <f>Inputs!D48</f>
        <v>0.9</v>
      </c>
      <c r="E11" s="176">
        <f t="shared" ref="E11:E22" si="0">C11*D11</f>
        <v>0</v>
      </c>
      <c r="F11" s="260"/>
      <c r="G11" s="3"/>
      <c r="H11" s="9" t="s">
        <v>31</v>
      </c>
      <c r="I11" s="175">
        <f>Inputs!C73</f>
        <v>0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0</v>
      </c>
      <c r="D13" s="258">
        <f>Inputs!D50</f>
        <v>0.6</v>
      </c>
      <c r="E13" s="176">
        <f t="shared" si="0"/>
        <v>0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0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0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0</v>
      </c>
      <c r="D24" s="185">
        <f>IF(E24=0,0,E24/C24)</f>
        <v>0</v>
      </c>
      <c r="E24" s="176">
        <f>SUM(E11:E14)</f>
        <v>0</v>
      </c>
      <c r="F24" s="186" t="e">
        <f>E24/$E$28</f>
        <v>#DIV/0!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 t="e">
        <f>E25/$E$28</f>
        <v>#DIV/0!</v>
      </c>
      <c r="G25" s="3"/>
      <c r="H25" s="183" t="s">
        <v>48</v>
      </c>
      <c r="I25" s="168" t="e">
        <f>E28/I28</f>
        <v>#DIV/0!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 t="e">
        <f>E26/$E$28</f>
        <v>#DIV/0!</v>
      </c>
      <c r="G26" s="3"/>
      <c r="H26" s="183" t="s">
        <v>50</v>
      </c>
      <c r="I26" s="168" t="e">
        <f>E24/($I$28-I22)</f>
        <v>#DIV/0!</v>
      </c>
      <c r="J26" s="187" t="e">
        <f>IF(I26&lt;1,"Liquidity Problem!","")</f>
        <v>#DIV/0!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 t="e">
        <f>E27/$E$28</f>
        <v>#DIV/0!</v>
      </c>
      <c r="G27" s="3"/>
      <c r="H27" s="183" t="s">
        <v>52</v>
      </c>
      <c r="I27" s="168" t="e">
        <f>(E25+E24)/$I$28</f>
        <v>#DIV/0!</v>
      </c>
      <c r="J27" s="187" t="e">
        <f>IF(OR(I27&lt;0.75,C28&lt;I28),"Liquidity Issue!","")</f>
        <v>#DIV/0!</v>
      </c>
    </row>
    <row r="28" spans="2:10" ht="15" customHeight="1" x14ac:dyDescent="0.35">
      <c r="B28" s="188" t="s">
        <v>14</v>
      </c>
      <c r="C28" s="189">
        <f>SUM(C11:C22)</f>
        <v>0</v>
      </c>
      <c r="D28" s="190" t="e">
        <f>E28/C28</f>
        <v>#DIV/0!</v>
      </c>
      <c r="E28" s="191">
        <f>SUM(E24:E27)</f>
        <v>0</v>
      </c>
      <c r="F28" s="87"/>
      <c r="G28" s="3"/>
      <c r="H28" s="188" t="s">
        <v>15</v>
      </c>
      <c r="I28" s="161">
        <f>Inputs!C77</f>
        <v>0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0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0</v>
      </c>
      <c r="D34" s="258">
        <f>Inputs!D64</f>
        <v>0.4</v>
      </c>
      <c r="E34" s="176">
        <f t="shared" si="1"/>
        <v>0</v>
      </c>
      <c r="F34" s="260"/>
      <c r="G34" s="3"/>
      <c r="H34" s="2" t="s">
        <v>70</v>
      </c>
      <c r="I34" s="180">
        <f>SUM(I30:I33)</f>
        <v>0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0</v>
      </c>
      <c r="D38" s="258">
        <f>Inputs!D68</f>
        <v>0.1</v>
      </c>
      <c r="E38" s="176">
        <f t="shared" si="1"/>
        <v>0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0</v>
      </c>
      <c r="D39" s="258">
        <f>Inputs!D69</f>
        <v>0.05</v>
      </c>
      <c r="E39" s="176">
        <f t="shared" si="1"/>
        <v>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0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0</v>
      </c>
      <c r="D45" s="185">
        <f>IF(E45=0,0,E45/C45)</f>
        <v>0</v>
      </c>
      <c r="E45" s="176">
        <f>SUM(E32:E35)</f>
        <v>0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0</v>
      </c>
      <c r="D46" s="185">
        <f>IF(E46=0,0,E46/C46)</f>
        <v>0</v>
      </c>
      <c r="E46" s="176">
        <f>E36+E37+E38+E39</f>
        <v>0</v>
      </c>
      <c r="F46" s="3"/>
      <c r="G46" s="3"/>
      <c r="H46" s="183" t="s">
        <v>73</v>
      </c>
      <c r="I46" s="168" t="e">
        <f>(E44+E24)/E64</f>
        <v>#DIV/0!</v>
      </c>
      <c r="J46" s="187" t="e">
        <f>IF(I46&lt;1,"Liquidity Problem!","")</f>
        <v>#DIV/0!</v>
      </c>
    </row>
    <row r="47" spans="2:10" ht="15" customHeight="1" x14ac:dyDescent="0.35">
      <c r="B47" s="183" t="s">
        <v>74</v>
      </c>
      <c r="C47" s="184">
        <f>C40+C41+C42</f>
        <v>0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0</v>
      </c>
      <c r="D48" s="195" t="e">
        <f>E48/C48</f>
        <v>#DIV/0!</v>
      </c>
      <c r="E48" s="196">
        <f>SUM(E30:E42)</f>
        <v>0</v>
      </c>
      <c r="F48" s="3"/>
      <c r="G48" s="3"/>
      <c r="H48" s="91" t="s">
        <v>77</v>
      </c>
      <c r="I48" s="197">
        <f>I49-I28</f>
        <v>0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0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258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251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252</v>
      </c>
      <c r="I61" s="203">
        <f>C99*Data!$C$4/Common_Shares</f>
        <v>0</v>
      </c>
      <c r="K61" s="172"/>
    </row>
    <row r="62" spans="2:11" ht="11.65" x14ac:dyDescent="0.35">
      <c r="B62" s="12" t="s">
        <v>127</v>
      </c>
      <c r="C62" s="204">
        <f>C11+C30</f>
        <v>0</v>
      </c>
      <c r="D62" s="205">
        <f t="shared" si="2"/>
        <v>0</v>
      </c>
      <c r="E62" s="206">
        <f>E11+E30</f>
        <v>0</v>
      </c>
      <c r="F62" s="3"/>
      <c r="G62" s="3"/>
      <c r="H62" s="2" t="s">
        <v>273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0</v>
      </c>
      <c r="D63" s="34">
        <f t="shared" si="2"/>
        <v>0</v>
      </c>
      <c r="E63" s="184">
        <f>E61+E62</f>
        <v>0</v>
      </c>
      <c r="F63" s="3"/>
      <c r="G63" s="3"/>
      <c r="H63" s="2" t="s">
        <v>253</v>
      </c>
      <c r="I63" s="207">
        <f>IF(I61&gt;0,FV(I62,D93,0,-I61),I61)</f>
        <v>0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0</v>
      </c>
      <c r="F64" s="3"/>
      <c r="G64" s="3"/>
      <c r="H64" s="2" t="s">
        <v>254</v>
      </c>
      <c r="I64" s="207">
        <f>IF(I61&gt;0,PV(C94,D93,0,-I63),I61)</f>
        <v>0</v>
      </c>
      <c r="K64" s="172"/>
    </row>
    <row r="65" spans="1:11" ht="12" thickTop="1" x14ac:dyDescent="0.35">
      <c r="B65" s="9" t="s">
        <v>130</v>
      </c>
      <c r="C65" s="202">
        <f>C63-E64</f>
        <v>0</v>
      </c>
      <c r="D65" s="34">
        <f t="shared" si="2"/>
        <v>0</v>
      </c>
      <c r="E65" s="184">
        <f>E63-E64</f>
        <v>0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0</v>
      </c>
      <c r="D68" s="34">
        <f t="shared" si="2"/>
        <v>0</v>
      </c>
      <c r="E68" s="202">
        <f>E49-E63</f>
        <v>0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0</v>
      </c>
      <c r="D70" s="34">
        <f t="shared" si="2"/>
        <v>0</v>
      </c>
      <c r="E70" s="202">
        <f>E68-E69</f>
        <v>0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45291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1000000USD)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38292</v>
      </c>
      <c r="D74" s="98"/>
      <c r="E74" s="256">
        <f>Inputs!E91</f>
        <v>38292</v>
      </c>
      <c r="F74" s="98"/>
      <c r="H74" s="256">
        <f>Inputs!F91</f>
        <v>38292</v>
      </c>
      <c r="I74" s="98"/>
      <c r="K74" s="75"/>
    </row>
    <row r="75" spans="1:11" ht="15" customHeight="1" x14ac:dyDescent="0.35">
      <c r="B75" s="100" t="s">
        <v>97</v>
      </c>
      <c r="C75" s="97">
        <f>Data!C8</f>
        <v>1323</v>
      </c>
      <c r="D75" s="101">
        <f>C75/$C$74</f>
        <v>3.4550297712315887E-2</v>
      </c>
      <c r="E75" s="256">
        <f>Inputs!E92</f>
        <v>1323</v>
      </c>
      <c r="F75" s="211">
        <f>E75/E74</f>
        <v>3.4550297712315887E-2</v>
      </c>
      <c r="H75" s="256">
        <f>Inputs!F92</f>
        <v>1323</v>
      </c>
      <c r="I75" s="211">
        <f>H75/$H$74</f>
        <v>3.4550297712315887E-2</v>
      </c>
      <c r="K75" s="75"/>
    </row>
    <row r="76" spans="1:11" ht="15" customHeight="1" x14ac:dyDescent="0.35">
      <c r="B76" s="12" t="s">
        <v>87</v>
      </c>
      <c r="C76" s="145">
        <f>C74-C75</f>
        <v>36969</v>
      </c>
      <c r="D76" s="212"/>
      <c r="E76" s="213">
        <f>E74-E75</f>
        <v>36969</v>
      </c>
      <c r="F76" s="212"/>
      <c r="H76" s="213">
        <f>H74-H75</f>
        <v>36969</v>
      </c>
      <c r="I76" s="212"/>
      <c r="K76" s="75"/>
    </row>
    <row r="77" spans="1:11" ht="15" customHeight="1" x14ac:dyDescent="0.35">
      <c r="B77" s="100" t="s">
        <v>215</v>
      </c>
      <c r="C77" s="97">
        <f>Data!C10+MAX(Data!C11,0)</f>
        <v>11551</v>
      </c>
      <c r="D77" s="101">
        <f>C77/$C$74</f>
        <v>0.30165569831818656</v>
      </c>
      <c r="E77" s="256">
        <f>Inputs!E93</f>
        <v>11551</v>
      </c>
      <c r="F77" s="211">
        <f>E77/E74</f>
        <v>0.30165569831818656</v>
      </c>
      <c r="H77" s="256">
        <f>Inputs!F93</f>
        <v>11551</v>
      </c>
      <c r="I77" s="211">
        <f>H77/$H$74</f>
        <v>0.30165569831818656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25418</v>
      </c>
      <c r="D79" s="217">
        <f>C79/C74</f>
        <v>0.6637940039694975</v>
      </c>
      <c r="E79" s="218">
        <f>E76-E77-E78</f>
        <v>25418</v>
      </c>
      <c r="F79" s="217">
        <f>E79/E74</f>
        <v>0.6637940039694975</v>
      </c>
      <c r="G79" s="219"/>
      <c r="H79" s="218">
        <f>H76-H77-H78</f>
        <v>25418</v>
      </c>
      <c r="I79" s="217">
        <f>H79/H74</f>
        <v>0.6637940039694975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221</v>
      </c>
      <c r="C81" s="97">
        <f>MAX(Data!C19,0)</f>
        <v>19458</v>
      </c>
      <c r="D81" s="101">
        <f>C81/$C$74</f>
        <v>0.50814791601378884</v>
      </c>
      <c r="E81" s="214">
        <f>E74*F81</f>
        <v>19458.000000000004</v>
      </c>
      <c r="F81" s="211">
        <f>I81</f>
        <v>0.50814791601378884</v>
      </c>
      <c r="H81" s="256">
        <f>Inputs!F94</f>
        <v>19458.000000000004</v>
      </c>
      <c r="I81" s="211">
        <f>H81/$H$74</f>
        <v>0.50814791601378884</v>
      </c>
      <c r="K81" s="75"/>
    </row>
    <row r="82" spans="1:11" ht="15" customHeight="1" x14ac:dyDescent="0.35">
      <c r="B82" s="18" t="s">
        <v>214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5960</v>
      </c>
      <c r="D83" s="223">
        <f>C83/$C$74</f>
        <v>0.15564608795570875</v>
      </c>
      <c r="E83" s="224">
        <f>E79-E81-E82-E80</f>
        <v>5959.9999999999964</v>
      </c>
      <c r="F83" s="223">
        <f>E83/E74</f>
        <v>0.15564608795570867</v>
      </c>
      <c r="H83" s="224">
        <f>H79-H81-H82-H80</f>
        <v>5959.9999999999964</v>
      </c>
      <c r="I83" s="223">
        <f>H83/$H$74</f>
        <v>0.15564608795570867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0.23499999999999999</v>
      </c>
      <c r="E84" s="226"/>
      <c r="F84" s="227">
        <f t="shared" ref="F84" si="3">I84</f>
        <v>0.23499999999999999</v>
      </c>
      <c r="H84" s="226"/>
      <c r="I84" s="257">
        <f>Inputs!C16</f>
        <v>0.23499999999999999</v>
      </c>
      <c r="K84" s="75"/>
    </row>
    <row r="85" spans="1:11" ht="15" customHeight="1" x14ac:dyDescent="0.35">
      <c r="B85" s="228" t="s">
        <v>146</v>
      </c>
      <c r="C85" s="216">
        <f>C83*(1-I84)</f>
        <v>4559.3999999999996</v>
      </c>
      <c r="D85" s="217">
        <f>C85/$C$74</f>
        <v>0.1190692572861172</v>
      </c>
      <c r="E85" s="229">
        <f>E83*(1-F84)</f>
        <v>4559.3999999999969</v>
      </c>
      <c r="F85" s="217">
        <f>E85/E74</f>
        <v>0.11906925728611713</v>
      </c>
      <c r="G85" s="219"/>
      <c r="H85" s="229">
        <f>H83*(1-I84)</f>
        <v>4559.3999999999969</v>
      </c>
      <c r="I85" s="217">
        <f>H85/$H$74</f>
        <v>0.11906925728611713</v>
      </c>
      <c r="K85" s="75"/>
    </row>
    <row r="86" spans="1:11" ht="15" customHeight="1" x14ac:dyDescent="0.35">
      <c r="B86" s="3" t="s">
        <v>143</v>
      </c>
      <c r="C86" s="230">
        <f>C85*Data!C4/Common_Shares</f>
        <v>1.8574483512875708</v>
      </c>
      <c r="D86" s="98"/>
      <c r="E86" s="231">
        <f>E85*Data!C4/Common_Shares</f>
        <v>1.8574483512875697</v>
      </c>
      <c r="F86" s="98"/>
      <c r="H86" s="231">
        <f>H85*Data!C4/Common_Shares</f>
        <v>1.8574483512875697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0.15272896989987314</v>
      </c>
      <c r="D87" s="98"/>
      <c r="E87" s="233">
        <f>E86*Exchange_Rate/Dashboard!G3</f>
        <v>0.15272896989987303</v>
      </c>
      <c r="F87" s="98"/>
      <c r="H87" s="233">
        <f>H86*Exchange_Rate/Dashboard!G3</f>
        <v>0.15272896989987303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0.3</v>
      </c>
      <c r="D88" s="235">
        <f>C88/C86</f>
        <v>0.16151189334122912</v>
      </c>
      <c r="E88" s="255">
        <f>Inputs!E98</f>
        <v>0.3</v>
      </c>
      <c r="F88" s="235">
        <f>E88/E86</f>
        <v>0.1615118933412292</v>
      </c>
      <c r="H88" s="255">
        <f>Inputs!F98</f>
        <v>0.3</v>
      </c>
      <c r="I88" s="235">
        <f>H88/H86</f>
        <v>0.1615118933412292</v>
      </c>
      <c r="K88" s="75"/>
    </row>
    <row r="89" spans="1:11" ht="15" customHeight="1" x14ac:dyDescent="0.35">
      <c r="B89" s="3" t="s">
        <v>193</v>
      </c>
      <c r="C89" s="232">
        <f>C88*Exchange_Rate/Dashboard!G3</f>
        <v>2.4667545096584101E-2</v>
      </c>
      <c r="D89" s="98"/>
      <c r="E89" s="232">
        <f>E88*Exchange_Rate/Dashboard!G3</f>
        <v>2.4667545096584101E-2</v>
      </c>
      <c r="F89" s="98"/>
      <c r="H89" s="232">
        <f>H88*Exchange_Rate/Dashboard!G3</f>
        <v>2.4667545096584101E-2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268</v>
      </c>
      <c r="C92" s="258" t="str">
        <f>Inputs!C15</f>
        <v>HK</v>
      </c>
      <c r="D92" s="83" t="s">
        <v>269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HK Discount Rate</v>
      </c>
      <c r="C93" s="236">
        <f>IF(C92="CN",Dashboard!C17,IF(C92="US",Dashboard!C12,IF(C92="HK",Dashboard!D12,Dashboard!D17)))</f>
        <v>7.5000000000000011E-2</v>
      </c>
      <c r="D93" s="253">
        <f>Dashboard!H20</f>
        <v>4</v>
      </c>
      <c r="E93" s="3" t="s">
        <v>182</v>
      </c>
      <c r="F93" s="237">
        <f>FV(E87,D93,0,-(E86/(C93-D94)))*Exchange_Rate</f>
        <v>463.33955032073362</v>
      </c>
      <c r="H93" s="3" t="s">
        <v>182</v>
      </c>
      <c r="I93" s="237">
        <f>FV(H87,D93,0,-(H86/(C93-D94)))*Exchange_Rate</f>
        <v>463.33955032073362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46.722596844471319</v>
      </c>
      <c r="H94" s="3" t="s">
        <v>183</v>
      </c>
      <c r="I94" s="237">
        <f>FV(H89,D93,0,-(H88/(C93-D94)))*Exchange_Rate</f>
        <v>46.722596844471319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650277.8480025453</v>
      </c>
      <c r="D97" s="244"/>
      <c r="E97" s="245">
        <f>PV(C94,D93,0,-F93)</f>
        <v>264.91589170749603</v>
      </c>
      <c r="F97" s="244"/>
      <c r="H97" s="245">
        <f>PV(C94,D93,0,-I93)</f>
        <v>264.91589170749603</v>
      </c>
      <c r="I97" s="245">
        <f>PV(C93,D93,0,-I93)</f>
        <v>346.94890074651266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0</v>
      </c>
      <c r="D99" s="248"/>
      <c r="E99" s="249">
        <f>IF(H99&gt;0,I64,H99)</f>
        <v>0</v>
      </c>
      <c r="F99" s="248"/>
      <c r="H99" s="249">
        <f>I64</f>
        <v>0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225.17850795137161</v>
      </c>
      <c r="E100" s="251">
        <f>MAX(E97+H98+E99,0)</f>
        <v>264.91589170749603</v>
      </c>
      <c r="F100" s="251">
        <f>(E100+H100)/2</f>
        <v>264.91589170749603</v>
      </c>
      <c r="H100" s="251">
        <f>MAX(H97+H98+H99,0)</f>
        <v>264.91589170749603</v>
      </c>
      <c r="I100" s="251">
        <f>MAX(I97+H98+H99,0)</f>
        <v>346.94890074651266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270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22.706726930107102</v>
      </c>
      <c r="E103" s="245">
        <f>PV(C94,D93,0,-F94)</f>
        <v>26.713796388361295</v>
      </c>
      <c r="F103" s="251">
        <f>(E103+H103)/2</f>
        <v>26.713796388361295</v>
      </c>
      <c r="H103" s="245">
        <f>PV(C94,D93,0,-I94)</f>
        <v>26.713796388361295</v>
      </c>
      <c r="I103" s="251">
        <f>PV(C93,D93,0,-I94)</f>
        <v>34.985905269668102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123.94261744073935</v>
      </c>
      <c r="E106" s="245">
        <f>(E100+E103)/2</f>
        <v>145.81484404792866</v>
      </c>
      <c r="F106" s="251">
        <f>(F100+F103)/2</f>
        <v>145.81484404792866</v>
      </c>
      <c r="H106" s="245">
        <f>(H100+H103)/2</f>
        <v>145.81484404792866</v>
      </c>
      <c r="I106" s="245">
        <f>(I100+I103)/2</f>
        <v>190.96740300809037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271</v>
      </c>
      <c r="C108" s="259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263</v>
      </c>
      <c r="C2" s="1"/>
    </row>
    <row r="3" spans="2:3" x14ac:dyDescent="0.35">
      <c r="B3" s="62"/>
      <c r="C3" s="62"/>
    </row>
    <row r="4" spans="2:3" x14ac:dyDescent="0.35">
      <c r="B4" s="60" t="s">
        <v>261</v>
      </c>
      <c r="C4" s="61" t="s">
        <v>262</v>
      </c>
    </row>
    <row r="5" spans="2:3" x14ac:dyDescent="0.35">
      <c r="B5" s="60"/>
      <c r="C5" s="61"/>
    </row>
    <row r="6" spans="2:3" x14ac:dyDescent="0.35">
      <c r="B6" s="63" t="s">
        <v>264</v>
      </c>
      <c r="C6" s="64" t="s">
        <v>265</v>
      </c>
    </row>
    <row r="7" spans="2:3" x14ac:dyDescent="0.35">
      <c r="B7" s="63"/>
      <c r="C7" s="64"/>
    </row>
    <row r="8" spans="2:3" x14ac:dyDescent="0.35">
      <c r="B8" s="290"/>
      <c r="C8" s="65" t="s">
        <v>266</v>
      </c>
    </row>
    <row r="10" spans="2:3" x14ac:dyDescent="0.35">
      <c r="B10" s="283" t="s">
        <v>267</v>
      </c>
    </row>
    <row r="11" spans="2:3" x14ac:dyDescent="0.35">
      <c r="B11" s="284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2025-01-03T05:29:18Z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