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03B91A7-3FE8-4BBA-94DF-97BF98E2673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F94" i="4" l="1"/>
  <c r="F96" i="4"/>
  <c r="F95" i="4"/>
  <c r="D53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<sst xmlns="http://schemas.openxmlformats.org/spreadsheetml/2006/main" count="405" uniqueCount="288">
  <si>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</si>
  <si>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</si>
  <si>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</si>
  <si>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</si>
  <si>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</si>
  <si>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</si>
  <si>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</si>
  <si>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</si>
  <si>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</si>
  <si>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</si>
  <si>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</si>
  <si>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</si>
  <si>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</si>
  <si>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</si>
  <si>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</si>
  <si>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</si>
  <si>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</si>
  <si>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</si>
  <si>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</si>
  <si>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</si>
  <si>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</si>
  <si>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</si>
  <si>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</si>
  <si>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</si>
  <si>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</si>
  <si>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</si>
  <si>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</si>
  <si>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</si>
  <si>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</si>
  <si>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</si>
  <si>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</si>
  <si>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</si>
  <si>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</si>
  <si>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</si>
  <si>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</si>
  <si>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</si>
  <si>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</si>
  <si>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</si>
  <si>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</si>
  <si>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</si>
  <si>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</si>
  <si>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</si>
  <si>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</si>
  <si>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</si>
  <si>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</si>
  <si>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</si>
  <si>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</si>
  <si>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</si>
  <si>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</si>
  <si>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</si>
  <si>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</si>
  <si>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</si>
  <si>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</si>
  <si>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</si>
  <si>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</si>
  <si>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</si>
  <si>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</si>
  <si>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</si>
  <si>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</si>
  <si>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</si>
  <si>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</si>
  <si>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</si>
  <si>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</si>
  <si>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</si>
  <si>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</si>
  <si>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</si>
  <si>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</si>
  <si>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</si>
  <si>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</si>
  <si>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</si>
  <si>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</si>
  <si>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</si>
  <si>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</si>
  <si>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</si>
  <si>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</si>
  <si>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</si>
  <si>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</si>
  <si>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</si>
  <si>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</si>
  <si>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</si>
  <si>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</si>
  <si>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</si>
  <si>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</si>
  <si>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</si>
  <si>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</si>
  <si>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</si>
  <si>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</si>
  <si>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</si>
  <si>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</si>
  <si>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</si>
  <si>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</si>
  <si>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</si>
  <si>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</si>
  <si>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</si>
  <si>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</si>
  <si>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</si>
  <si>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</si>
  <si>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</si>
  <si>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</si>
  <si>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</si>
  <si>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</si>
  <si>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</si>
  <si>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</si>
  <si>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</si>
  <si>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</si>
  <si>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</si>
  <si>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</si>
  <si>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</si>
  <si>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</si>
  <si>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</si>
  <si>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</si>
  <si>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</si>
  <si>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</si>
  <si>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</si>
  <si>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</si>
  <si>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</si>
  <si>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</si>
  <si>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</si>
  <si>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</si>
  <si>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</si>
  <si>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</si>
  <si>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</si>
  <si>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</si>
  <si>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</si>
  <si>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</si>
  <si>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</si>
  <si>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</si>
  <si>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</si>
  <si>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</si>
  <si>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</si>
  <si>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</si>
  <si>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</si>
  <si>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</si>
  <si>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</si>
  <si>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</si>
  <si>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</si>
  <si>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</si>
  <si>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</si>
  <si>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</si>
  <si>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</si>
  <si>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</si>
  <si>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</si>
  <si>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</si>
  <si>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</si>
  <si>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</si>
  <si>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</si>
  <si>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</si>
  <si>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</si>
  <si>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</si>
  <si>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</si>
  <si>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</si>
  <si>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</si>
  <si>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</si>
  <si>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</si>
  <si>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</si>
  <si>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</si>
  <si>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</si>
  <si>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</si>
  <si>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</si>
  <si>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</si>
  <si>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</si>
  <si>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</si>
  <si>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</si>
  <si>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</si>
  <si>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</si>
  <si>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</si>
  <si>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</si>
  <si>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</si>
  <si>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</si>
  <si>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</si>
  <si>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</si>
  <si>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</si>
  <si>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</si>
  <si>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</si>
  <si>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</si>
  <si>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</si>
  <si>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</si>
  <si>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</si>
  <si>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</si>
  <si>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</si>
  <si>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</si>
  <si>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</si>
  <si>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</si>
  <si>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</si>
  <si>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</si>
  <si>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</si>
  <si>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</si>
  <si>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</si>
  <si>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</si>
  <si>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</si>
  <si>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</si>
  <si>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</si>
  <si>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</si>
  <si>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</si>
  <si>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</si>
  <si>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</si>
  <si>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</si>
  <si>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</si>
  <si>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</si>
  <si>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</si>
  <si>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</si>
  <si>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</si>
  <si>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</si>
  <si>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</si>
  <si>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</si>
  <si>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</si>
  <si>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</si>
  <si>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</si>
  <si>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</si>
  <si>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</si>
  <si>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</si>
  <si>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</si>
  <si>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</si>
  <si>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</si>
  <si>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</si>
  <si>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</si>
  <si>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</si>
  <si>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</si>
  <si>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</si>
  <si>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</si>
  <si>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</si>
  <si>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</si>
  <si>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</si>
  <si>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</si>
  <si>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</si>
  <si>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</si>
  <si>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</si>
  <si>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</si>
  <si>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</si>
  <si>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</si>
  <si>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</si>
  <si>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</si>
  <si>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</si>
  <si>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</si>
  <si>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</si>
  <si>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</si>
  <si>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</si>
  <si>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</si>
  <si>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</si>
  <si>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</si>
  <si>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</si>
  <si>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</si>
  <si>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</si>
  <si>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</si>
  <si>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</si>
  <si>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</si>
  <si>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</si>
  <si>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</si>
  <si>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</si>
  <si>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</si>
  <si>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</si>
  <si>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</si>
  <si>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</si>
  <si>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</si>
  <si>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</si>
  <si>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</si>
  <si>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</si>
  <si>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</si>
  <si>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</si>
  <si>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</si>
  <si>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</si>
  <si>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</si>
  <si>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</si>
  <si>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</si>
  <si>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</si>
  <si>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</si>
  <si>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</si>
  <si>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</si>
  <si>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</si>
  <si>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</si>
  <si>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</si>
  <si>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</si>
  <si>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</si>
  <si>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</si>
  <si>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</si>
  <si>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</si>
  <si>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</si>
  <si>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</si>
  <si>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</si>
  <si>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</si>
  <si>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</si>
  <si>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</si>
  <si>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Unclear</t>
  </si>
  <si>
    <t>3606.HK</t>
  </si>
  <si>
    <t>福耀玻璃</t>
  </si>
  <si>
    <t xml:space="preserve">Superior Cycl. </t>
  </si>
  <si>
    <t>C0006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</si>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</sst>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283</v>
      </c>
      <c r="D4" s="66"/>
    </row>
    <row r="5" spans="1:5" x14ac:dyDescent="0.35">
      <c r="B5" s="46" t="s">
        <v>168</v>
      </c>
      <c r="C5" s="67" t="s">
        <v>284</v>
      </c>
    </row>
    <row r="6" spans="1:5" x14ac:dyDescent="0.35">
      <c r="B6" s="46" t="s">
        <v>268</v>
      </c>
      <c r="C6" s="68">
        <v>45633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285</v>
      </c>
    </row>
    <row r="9" spans="1:5" x14ac:dyDescent="0.35">
      <c r="B9" s="39" t="s">
        <v>189</v>
      </c>
      <c r="C9" s="119" t="s">
        <v>286</v>
      </c>
    </row>
    <row r="10" spans="1:5" x14ac:dyDescent="0.35">
      <c r="B10" s="39" t="s">
        <v>190</v>
      </c>
      <c r="C10" s="70">
        <v>2609743532</v>
      </c>
    </row>
    <row r="11" spans="1:5" x14ac:dyDescent="0.35">
      <c r="B11" s="39" t="s">
        <v>191</v>
      </c>
      <c r="C11" s="69" t="s">
        <v>287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164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214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214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282</v>
      </c>
      <c r="D22" s="75"/>
    </row>
    <row r="24" spans="2:13" x14ac:dyDescent="0.35">
      <c r="B24" s="76" t="s">
        <v>278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33160996</v>
      </c>
      <c r="D25" s="77">
        <v>28098754</v>
      </c>
      <c r="E25" s="77">
        <v>23603063</v>
      </c>
      <c r="F25" s="77">
        <v>19906593</v>
      </c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21424326</v>
      </c>
      <c r="D26" s="78">
        <v>18535445</v>
      </c>
      <c r="E26" s="78">
        <v>15129053</v>
      </c>
      <c r="F26" s="78">
        <v>12640913</v>
      </c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1734137</v>
      </c>
      <c r="D27" s="78">
        <v>1682699</v>
      </c>
      <c r="E27" s="78">
        <v>1486658</v>
      </c>
      <c r="F27" s="78">
        <v>1838041</v>
      </c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/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1.3</f>
        <v>1.3</v>
      </c>
      <c r="D44" s="81">
        <v>1.25</v>
      </c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2.6281670778376575E-2</v>
      </c>
      <c r="D45" s="82">
        <f>IF(D44="","",D44*Exchange_Rate/Dashboard!$G$3)</f>
        <v>2.5270837286900553E-2</v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277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274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33160996</v>
      </c>
      <c r="D91" s="98"/>
      <c r="E91" s="99">
        <f>C91</f>
        <v>33160996</v>
      </c>
      <c r="F91" s="99">
        <f>C91</f>
        <v>33160996</v>
      </c>
    </row>
    <row r="92" spans="2:8" x14ac:dyDescent="0.35">
      <c r="B92" s="100" t="s">
        <v>97</v>
      </c>
      <c r="C92" s="97">
        <f>C26</f>
        <v>21424326</v>
      </c>
      <c r="D92" s="101">
        <f>C92/C91</f>
        <v>0.646070039633309</v>
      </c>
      <c r="E92" s="102">
        <f>E91*D92</f>
        <v>21424326</v>
      </c>
      <c r="F92" s="102">
        <f>F91*D92</f>
        <v>21424326</v>
      </c>
    </row>
    <row r="93" spans="2:8" x14ac:dyDescent="0.35">
      <c r="B93" s="100" t="s">
        <v>216</v>
      </c>
      <c r="C93" s="97">
        <f>C27+C28</f>
        <v>1734137</v>
      </c>
      <c r="D93" s="101">
        <f>C93/C91</f>
        <v>5.2294478730373475E-2</v>
      </c>
      <c r="E93" s="102">
        <f>E91*D93</f>
        <v>1734137</v>
      </c>
      <c r="F93" s="102">
        <f>F91*D93</f>
        <v>1734137</v>
      </c>
    </row>
    <row r="94" spans="2:8" x14ac:dyDescent="0.35">
      <c r="B94" s="100" t="s">
        <v>222</v>
      </c>
      <c r="C94" s="97">
        <f>C29</f>
        <v>0</v>
      </c>
      <c r="D94" s="101">
        <f>C94/C91</f>
        <v>0</v>
      </c>
      <c r="E94" s="103"/>
      <c r="F94" s="102">
        <f>F91*D94</f>
        <v>0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180</v>
      </c>
      <c r="C98" s="104">
        <f>C44</f>
        <v>1.3</v>
      </c>
      <c r="D98" s="105"/>
      <c r="E98" s="106">
        <f>F98</f>
        <v>1.3</v>
      </c>
      <c r="F98" s="106">
        <f>C98</f>
        <v>1.3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3606.HK : 福耀玻璃</v>
      </c>
      <c r="D2" s="3"/>
      <c r="E2" s="7"/>
      <c r="F2" s="7"/>
      <c r="G2" s="312" t="str">
        <f>IF(Inputs!D4="","",Inputs!D4)</f>
        <v/>
      </c>
      <c r="H2" s="312"/>
    </row>
    <row r="3" spans="1:10" ht="15.75" customHeight="1" x14ac:dyDescent="0.35">
      <c r="B3" s="9" t="s">
        <v>167</v>
      </c>
      <c r="C3" s="317" t="str">
        <f>Inputs!C4</f>
        <v>3606.HK</v>
      </c>
      <c r="D3" s="318"/>
      <c r="E3" s="3"/>
      <c r="F3" s="9" t="s">
        <v>1</v>
      </c>
      <c r="G3" s="10">
        <v>52.65</v>
      </c>
      <c r="H3" s="11" t="s">
        <v>256</v>
      </c>
    </row>
    <row r="4" spans="1:10" ht="15.75" customHeight="1" x14ac:dyDescent="0.35">
      <c r="B4" s="12" t="s">
        <v>168</v>
      </c>
      <c r="C4" s="312" t="str">
        <f>Inputs!C5</f>
        <v>福耀玻璃</v>
      </c>
      <c r="D4" s="319"/>
      <c r="E4" s="3"/>
      <c r="F4" s="9" t="s">
        <v>2</v>
      </c>
      <c r="G4" s="322">
        <f>Inputs!C10</f>
        <v>2609743532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45633</v>
      </c>
      <c r="D5" s="321"/>
      <c r="E5" s="16"/>
      <c r="F5" s="12" t="s">
        <v>91</v>
      </c>
      <c r="G5" s="315">
        <f>G3*G4/1000000</f>
        <v>137402.99695980002</v>
      </c>
      <c r="H5" s="315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6" t="str">
        <f>Inputs!C11</f>
        <v>CNY</v>
      </c>
      <c r="H6" s="316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C0006</v>
      </c>
      <c r="E7" s="3"/>
      <c r="F7" s="12" t="s">
        <v>5</v>
      </c>
      <c r="G7" s="21">
        <v>1.0644076665242512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HK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0.30163548163631754</v>
      </c>
      <c r="F21" s="3"/>
      <c r="G21" s="34"/>
    </row>
    <row r="22" spans="1:8" ht="15.75" customHeight="1" x14ac:dyDescent="0.35">
      <c r="B22" s="35" t="s">
        <v>244</v>
      </c>
      <c r="C22" s="36" t="e">
        <f>Data!C50</f>
        <v>#DIV/0!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239</v>
      </c>
      <c r="C24" s="42">
        <f>Fin_Analysis!I81</f>
        <v>0</v>
      </c>
      <c r="F24" s="39" t="s">
        <v>224</v>
      </c>
      <c r="G24" s="43">
        <f>G3/(Fin_Analysis!H86*G7)</f>
        <v>17.207467391123728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0.45224099290316433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166</v>
      </c>
      <c r="G26" s="47">
        <f>Fin_Analysis!H88*Exchange_Rate/G3</f>
        <v>2.6281670778376575E-2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3" t="s">
        <v>223</v>
      </c>
      <c r="H28" s="313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33.890395534588272</v>
      </c>
      <c r="D29" s="54">
        <f>G29*(1+G20)</f>
        <v>60.050006197743095</v>
      </c>
      <c r="E29" s="3"/>
      <c r="F29" s="55">
        <f>IF(Fin_Analysis!C108="Profit",Fin_Analysis!F100,IF(Fin_Analysis!C108="Dividend",Fin_Analysis!F103,Fin_Analysis!F106))</f>
        <v>39.871053570103854</v>
      </c>
      <c r="G29" s="314">
        <f>IF(Fin_Analysis!C108="Profit",Fin_Analysis!I100,IF(Fin_Analysis!C108="Dividend",Fin_Analysis!I103,Fin_Analysis!I106))</f>
        <v>52.217396693689651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unclear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unclear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10002533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33160996</v>
      </c>
      <c r="D6" s="142">
        <f>IF(Inputs!D25="","",Inputs!D25)</f>
        <v>28098754</v>
      </c>
      <c r="E6" s="142">
        <f>IF(Inputs!E25="","",Inputs!E25)</f>
        <v>23603063</v>
      </c>
      <c r="F6" s="142">
        <f>IF(Inputs!F25="","",Inputs!F25)</f>
        <v>19906593</v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0.18015894939683097</v>
      </c>
      <c r="D7" s="143">
        <f t="shared" si="1"/>
        <v>0.19047066052401762</v>
      </c>
      <c r="E7" s="143">
        <f t="shared" si="1"/>
        <v>0.18569074075106684</v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21424326</v>
      </c>
      <c r="D8" s="144">
        <f>IF(Inputs!D26="","",Inputs!D26)</f>
        <v>18535445</v>
      </c>
      <c r="E8" s="144">
        <f>IF(Inputs!E26="","",Inputs!E26)</f>
        <v>15129053</v>
      </c>
      <c r="F8" s="144">
        <f>IF(Inputs!F26="","",Inputs!F26)</f>
        <v>12640913</v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11736670</v>
      </c>
      <c r="D9" s="273">
        <f t="shared" si="2"/>
        <v>9563309</v>
      </c>
      <c r="E9" s="273">
        <f t="shared" si="2"/>
        <v>8474010</v>
      </c>
      <c r="F9" s="273">
        <f t="shared" si="2"/>
        <v>7265680</v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1734137</v>
      </c>
      <c r="D10" s="144">
        <f>IF(Inputs!D27="","",Inputs!D27)</f>
        <v>1682699</v>
      </c>
      <c r="E10" s="144">
        <f>IF(Inputs!E27="","",Inputs!E27)</f>
        <v>1486658</v>
      </c>
      <c r="F10" s="144">
        <f>IF(Inputs!F27="","",Inputs!F27)</f>
        <v>1838041</v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 t="str">
        <f>IF(Inputs!C31="","",MAX(Inputs!C31,0)/(1-Fin_Analysis!$I$84))</f>
        <v/>
      </c>
      <c r="D12" s="144" t="str">
        <f>IF(Inputs!D31="","",MAX(Inputs!D31,0)/(1-Fin_Analysis!$I$84))</f>
        <v/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0.30163548163631754</v>
      </c>
      <c r="D13" s="292">
        <f t="shared" si="3"/>
        <v>0.28046119055670582</v>
      </c>
      <c r="E13" s="292">
        <f t="shared" si="3"/>
        <v>0.29603581535159229</v>
      </c>
      <c r="F13" s="292">
        <f t="shared" si="3"/>
        <v>0.27265534589469931</v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10002533</v>
      </c>
      <c r="D14" s="294">
        <f t="shared" ref="D14:M14" si="4">IF(D6="","",D9-D10-MAX(D11,0)-MAX(D12,0))</f>
        <v>7880610</v>
      </c>
      <c r="E14" s="294">
        <f t="shared" si="4"/>
        <v>6987352</v>
      </c>
      <c r="F14" s="294">
        <f t="shared" si="4"/>
        <v>5427639</v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0.26925872489566161</v>
      </c>
      <c r="D15" s="296">
        <f t="shared" ref="D15:M15" si="5">IF(E14="","",IF(ABS(D14+E14)=ABS(D14)+ABS(E14),IF(D14&lt;0,-1,1)*(D14-E14)/E14,"Turn"))</f>
        <v>0.12783927301787573</v>
      </c>
      <c r="E15" s="296">
        <f t="shared" si="5"/>
        <v>0.28736491133621822</v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 t="str">
        <f t="shared" ref="D16:M16" si="6">IF(D17="","",D17-D14)</f>
        <v/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 t="str">
        <f>IF(Inputs!D30="","",Inputs!D30)</f>
        <v/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 t="str">
        <f>IF(Inputs!C29="","",Inputs!C29)</f>
        <v/>
      </c>
      <c r="D19" s="144" t="str">
        <f>IF(Inputs!D29="","",Inputs!D29)</f>
        <v/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>
        <f t="shared" si="8"/>
        <v>0</v>
      </c>
      <c r="F22" s="227">
        <f t="shared" si="8"/>
        <v>0</v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10002533</v>
      </c>
      <c r="D24" s="309">
        <f t="shared" si="9"/>
        <v>7880610</v>
      </c>
      <c r="E24" s="309">
        <f t="shared" si="9"/>
        <v>6987352</v>
      </c>
      <c r="F24" s="309">
        <f t="shared" si="9"/>
        <v>5427639</v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0.22622661122723817</v>
      </c>
      <c r="D25" s="143">
        <f t="shared" si="10"/>
        <v>0.21034589291752936</v>
      </c>
      <c r="E25" s="143">
        <f t="shared" si="10"/>
        <v>0.22202686151369422</v>
      </c>
      <c r="F25" s="143">
        <f t="shared" si="10"/>
        <v>0.20449150942102448</v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7501899.75</v>
      </c>
      <c r="D26" s="276">
        <f>IF(D6="","",D24*(1-Fin_Analysis!$I$84))</f>
        <v>5910457.5</v>
      </c>
      <c r="E26" s="276">
        <f>IF(E6="","",E24*(1-Fin_Analysis!$I$84))</f>
        <v>5240514</v>
      </c>
      <c r="F26" s="276">
        <f>IF(F6="","",F24*(1-Fin_Analysis!$I$84))</f>
        <v>4070729.25</v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0.26925872489566161</v>
      </c>
      <c r="D27" s="305">
        <f t="shared" si="11"/>
        <v>0.12783927301787573</v>
      </c>
      <c r="E27" s="305">
        <f t="shared" si="11"/>
        <v>0.28736491133621822</v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0.646070039633309</v>
      </c>
      <c r="D42" s="150">
        <f t="shared" si="35"/>
        <v>0.65965362734589583</v>
      </c>
      <c r="E42" s="150">
        <f t="shared" si="35"/>
        <v>0.64097837640818056</v>
      </c>
      <c r="F42" s="150">
        <f t="shared" si="35"/>
        <v>0.63501137537699193</v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5.2294478730373475E-2</v>
      </c>
      <c r="D43" s="146">
        <f t="shared" si="36"/>
        <v>5.9885182097398341E-2</v>
      </c>
      <c r="E43" s="146">
        <f t="shared" si="36"/>
        <v>6.298580824022712E-2</v>
      </c>
      <c r="F43" s="146">
        <f t="shared" si="36"/>
        <v>9.2333278728308751E-2</v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0</v>
      </c>
      <c r="F44" s="146">
        <f t="shared" si="37"/>
        <v>0</v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0</v>
      </c>
      <c r="D45" s="146">
        <f t="shared" si="38"/>
        <v>0</v>
      </c>
      <c r="E45" s="146">
        <f t="shared" si="38"/>
        <v>0</v>
      </c>
      <c r="F45" s="146">
        <f t="shared" si="38"/>
        <v>0</v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0</v>
      </c>
      <c r="D46" s="146">
        <f t="shared" si="39"/>
        <v>0</v>
      </c>
      <c r="E46" s="146">
        <f t="shared" si="39"/>
        <v>0</v>
      </c>
      <c r="F46" s="146">
        <f t="shared" si="39"/>
        <v>0</v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>
        <f t="shared" si="40"/>
        <v>0</v>
      </c>
      <c r="F47" s="146">
        <f t="shared" si="40"/>
        <v>0</v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0.30163548163631754</v>
      </c>
      <c r="D48" s="281">
        <f t="shared" si="41"/>
        <v>0.28046119055670582</v>
      </c>
      <c r="E48" s="281">
        <f t="shared" si="41"/>
        <v>0.29603581535159229</v>
      </c>
      <c r="F48" s="281">
        <f t="shared" si="41"/>
        <v>0.27265534589469931</v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 t="e">
        <f t="shared" ref="C50:M50" si="42">IF(C6="","",C6/C29)</f>
        <v>#DIV/0!</v>
      </c>
      <c r="D50" s="153" t="e">
        <f t="shared" si="42"/>
        <v>#VALUE!</v>
      </c>
      <c r="E50" s="153" t="e">
        <f t="shared" si="42"/>
        <v>#VALUE!</v>
      </c>
      <c r="F50" s="153" t="e">
        <f t="shared" si="42"/>
        <v>#VALUE!</v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e">
        <f t="shared" si="45"/>
        <v>#VALUE!</v>
      </c>
      <c r="E53" s="146" t="e">
        <f t="shared" si="45"/>
        <v>#VALUE!</v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 t="str">
        <f t="shared" ref="C57:M57" si="48">IF(C24="","",IF(MAX(C19,0)&lt;=0,"-",C19/C24))</f>
        <v>-</v>
      </c>
      <c r="D57" s="146" t="str">
        <f t="shared" si="48"/>
        <v>-</v>
      </c>
      <c r="E57" s="146" t="str">
        <f t="shared" si="48"/>
        <v>-</v>
      </c>
      <c r="F57" s="146" t="str">
        <f t="shared" si="48"/>
        <v>-</v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e">
        <f t="shared" si="50"/>
        <v>#VALUE!</v>
      </c>
      <c r="F60" s="156" t="e">
        <f t="shared" si="50"/>
        <v>#VALUE!</v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e">
        <f t="shared" si="51"/>
        <v>#VALUE!</v>
      </c>
      <c r="F61" s="156" t="e">
        <f t="shared" si="51"/>
        <v>#VALUE!</v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0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0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0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0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33160996</v>
      </c>
      <c r="D74" s="98"/>
      <c r="E74" s="256">
        <f>Inputs!E91</f>
        <v>33160996</v>
      </c>
      <c r="F74" s="98"/>
      <c r="H74" s="256">
        <f>Inputs!F91</f>
        <v>33160996</v>
      </c>
      <c r="I74" s="98"/>
      <c r="K74" s="75"/>
    </row>
    <row r="75" spans="1:11" ht="15" customHeight="1" x14ac:dyDescent="0.35">
      <c r="B75" s="100" t="s">
        <v>97</v>
      </c>
      <c r="C75" s="97">
        <f>Data!C8</f>
        <v>21424326</v>
      </c>
      <c r="D75" s="101">
        <f>C75/$C$74</f>
        <v>0.646070039633309</v>
      </c>
      <c r="E75" s="256">
        <f>Inputs!E92</f>
        <v>21424326</v>
      </c>
      <c r="F75" s="211">
        <f>E75/E74</f>
        <v>0.646070039633309</v>
      </c>
      <c r="H75" s="256">
        <f>Inputs!F92</f>
        <v>21424326</v>
      </c>
      <c r="I75" s="211">
        <f>H75/$H$74</f>
        <v>0.646070039633309</v>
      </c>
      <c r="K75" s="75"/>
    </row>
    <row r="76" spans="1:11" ht="15" customHeight="1" x14ac:dyDescent="0.35">
      <c r="B76" s="12" t="s">
        <v>87</v>
      </c>
      <c r="C76" s="145">
        <f>C74-C75</f>
        <v>11736670</v>
      </c>
      <c r="D76" s="212"/>
      <c r="E76" s="213">
        <f>E74-E75</f>
        <v>11736670</v>
      </c>
      <c r="F76" s="212"/>
      <c r="H76" s="213">
        <f>H74-H75</f>
        <v>11736670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1734137</v>
      </c>
      <c r="D77" s="101">
        <f>C77/$C$74</f>
        <v>5.2294478730373475E-2</v>
      </c>
      <c r="E77" s="256">
        <f>Inputs!E93</f>
        <v>1734137</v>
      </c>
      <c r="F77" s="211">
        <f>E77/E74</f>
        <v>5.2294478730373475E-2</v>
      </c>
      <c r="H77" s="256">
        <f>Inputs!F93</f>
        <v>1734137</v>
      </c>
      <c r="I77" s="211">
        <f>H77/$H$74</f>
        <v>5.2294478730373475E-2</v>
      </c>
      <c r="K77" s="75"/>
    </row>
    <row r="78" spans="1:11" ht="15" customHeight="1" x14ac:dyDescent="0.35">
      <c r="B78" s="93" t="s">
        <v>150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203</v>
      </c>
      <c r="C79" s="216">
        <f>C76-C77-C78</f>
        <v>10002533</v>
      </c>
      <c r="D79" s="217">
        <f>C79/C74</f>
        <v>0.30163548163631754</v>
      </c>
      <c r="E79" s="218">
        <f>E76-E77-E78</f>
        <v>10002533</v>
      </c>
      <c r="F79" s="217">
        <f>E79/E74</f>
        <v>0.30163548163631754</v>
      </c>
      <c r="G79" s="219"/>
      <c r="H79" s="218">
        <f>H76-H77-H78</f>
        <v>10002533</v>
      </c>
      <c r="I79" s="217">
        <f>H79/H74</f>
        <v>0.30163548163631754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0</v>
      </c>
      <c r="D81" s="101">
        <f>C81/$C$74</f>
        <v>0</v>
      </c>
      <c r="E81" s="214">
        <f>E74*F81</f>
        <v>0</v>
      </c>
      <c r="F81" s="211">
        <f>I81</f>
        <v>0</v>
      </c>
      <c r="H81" s="256">
        <f>Inputs!F94</f>
        <v>0</v>
      </c>
      <c r="I81" s="211">
        <f>H81/$H$74</f>
        <v>0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10002533</v>
      </c>
      <c r="D83" s="223">
        <f>C83/$C$74</f>
        <v>0.30163548163631754</v>
      </c>
      <c r="E83" s="224">
        <f>E79-E81-E82-E80</f>
        <v>10002533</v>
      </c>
      <c r="F83" s="223">
        <f>E83/E74</f>
        <v>0.30163548163631754</v>
      </c>
      <c r="H83" s="224">
        <f>H79-H81-H82-H80</f>
        <v>10002533</v>
      </c>
      <c r="I83" s="223">
        <f>H83/$H$74</f>
        <v>0.30163548163631754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7501899.75</v>
      </c>
      <c r="D85" s="217">
        <f>C85/$C$74</f>
        <v>0.22622661122723817</v>
      </c>
      <c r="E85" s="229">
        <f>E83*(1-F84)</f>
        <v>7501899.75</v>
      </c>
      <c r="F85" s="217">
        <f>E85/E74</f>
        <v>0.22622661122723817</v>
      </c>
      <c r="G85" s="219"/>
      <c r="H85" s="229">
        <f>H83*(1-I84)</f>
        <v>7501899.75</v>
      </c>
      <c r="I85" s="217">
        <f>H85/$H$74</f>
        <v>0.22622661122723817</v>
      </c>
      <c r="K85" s="75"/>
    </row>
    <row r="86" spans="1:11" ht="15" customHeight="1" x14ac:dyDescent="0.35">
      <c r="B86" s="3" t="s">
        <v>143</v>
      </c>
      <c r="C86" s="230">
        <f>C85*Data!C4/Common_Shares</f>
        <v>2.8745735579046929</v>
      </c>
      <c r="D86" s="98"/>
      <c r="E86" s="231">
        <f>E85*Data!C4/Common_Shares</f>
        <v>2.8745735579046929</v>
      </c>
      <c r="F86" s="98"/>
      <c r="H86" s="231">
        <f>H85*Data!C4/Common_Shares</f>
        <v>2.8745735579046929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5.8114304520829045E-2</v>
      </c>
      <c r="D87" s="98"/>
      <c r="E87" s="233">
        <f>E86*Exchange_Rate/Dashboard!G3</f>
        <v>5.8114304520829045E-2</v>
      </c>
      <c r="F87" s="98"/>
      <c r="H87" s="233">
        <f>H86*Exchange_Rate/Dashboard!G3</f>
        <v>5.8114304520829045E-2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1.3</v>
      </c>
      <c r="D88" s="235">
        <f>C88/C86</f>
        <v>0.45224099290316433</v>
      </c>
      <c r="E88" s="255">
        <f>Inputs!E98</f>
        <v>1.3</v>
      </c>
      <c r="F88" s="235">
        <f>E88/E86</f>
        <v>0.45224099290316433</v>
      </c>
      <c r="H88" s="255">
        <f>Inputs!F98</f>
        <v>1.3</v>
      </c>
      <c r="I88" s="235">
        <f>H88/H86</f>
        <v>0.45224099290316433</v>
      </c>
      <c r="K88" s="75"/>
    </row>
    <row r="89" spans="1:11" ht="15" customHeight="1" x14ac:dyDescent="0.35">
      <c r="B89" s="3" t="s">
        <v>193</v>
      </c>
      <c r="C89" s="232">
        <f>C88*Exchange_Rate/Dashboard!G3</f>
        <v>2.6281670778376575E-2</v>
      </c>
      <c r="D89" s="98"/>
      <c r="E89" s="232">
        <f>E88*Exchange_Rate/Dashboard!G3</f>
        <v>2.6281670778376575E-2</v>
      </c>
      <c r="F89" s="98"/>
      <c r="H89" s="232">
        <f>H88*Exchange_Rate/Dashboard!G3</f>
        <v>2.6281670778376575E-2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HK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HK Discount Rate</v>
      </c>
      <c r="C93" s="236">
        <f>IF(C92="CN",Dashboard!C17,IF(C92="US",Dashboard!C12,IF(C92="HK",Dashboard!D12,Dashboard!D17)))</f>
        <v>7.5000000000000011E-2</v>
      </c>
      <c r="D93" s="253">
        <f>Dashboard!H20</f>
        <v>4</v>
      </c>
      <c r="E93" s="3" t="s">
        <v>182</v>
      </c>
      <c r="F93" s="237">
        <f>FV(E87,D93,0,-(E86/(C93-D94)))*Exchange_Rate</f>
        <v>69.734721888196432</v>
      </c>
      <c r="H93" s="3" t="s">
        <v>182</v>
      </c>
      <c r="I93" s="237">
        <f>FV(H87,D93,0,-(H86/(C93-D94)))*Exchange_Rate</f>
        <v>69.734721888196432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27.909685774560149</v>
      </c>
      <c r="H94" s="3" t="s">
        <v>183</v>
      </c>
      <c r="I94" s="237">
        <f>FV(H89,D93,0,-(H88/(C93-D94)))*Exchange_Rate</f>
        <v>27.909685774560149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104053224.16860403</v>
      </c>
      <c r="D97" s="244"/>
      <c r="E97" s="245">
        <f>PV(C94,D93,0,-F93)</f>
        <v>39.871053570103854</v>
      </c>
      <c r="F97" s="244"/>
      <c r="H97" s="245">
        <f>PV(C94,D93,0,-I93)</f>
        <v>39.871053570103854</v>
      </c>
      <c r="I97" s="245">
        <f>PV(C93,D93,0,-I93)</f>
        <v>52.217396693689651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33.890395534588272</v>
      </c>
      <c r="E100" s="251">
        <f>MAX(E97+H98+E99,0)</f>
        <v>39.871053570103854</v>
      </c>
      <c r="F100" s="251">
        <f>(E100+H100)/2</f>
        <v>39.871053570103854</v>
      </c>
      <c r="H100" s="251">
        <f>MAX(H97+H98+H99,0)</f>
        <v>39.871053570103854</v>
      </c>
      <c r="I100" s="251">
        <f>MAX(I97+H98+H99,0)</f>
        <v>52.217396693689651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13.563835411323506</v>
      </c>
      <c r="E103" s="245">
        <f>PV(C94,D93,0,-F94)</f>
        <v>15.957453425086479</v>
      </c>
      <c r="F103" s="251">
        <f>(E103+H103)/2</f>
        <v>15.957453425086479</v>
      </c>
      <c r="H103" s="245">
        <f>PV(C94,D93,0,-I94)</f>
        <v>15.957453425086479</v>
      </c>
      <c r="I103" s="251">
        <f>PV(C93,D93,0,-I94)</f>
        <v>20.898787493882793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23.727115472955887</v>
      </c>
      <c r="E106" s="245">
        <f>(E100+E103)/2</f>
        <v>27.914253497595165</v>
      </c>
      <c r="F106" s="251">
        <f>(F100+F103)/2</f>
        <v>27.914253497595165</v>
      </c>
      <c r="H106" s="245">
        <f>(H100+H103)/2</f>
        <v>27.914253497595165</v>
      </c>
      <c r="I106" s="245">
        <f>(I100+I103)/2</f>
        <v>36.558092093786222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45633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2025-01-03T05:29:22Z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