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6B5120-B091-4557-9E88-99BE72A1F9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E95" i="4" l="1"/>
  <c r="F96" i="4"/>
  <c r="F97" i="4"/>
  <c r="E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<sst xmlns="http://schemas.openxmlformats.org/spreadsheetml/2006/main" count="405" uniqueCount="289">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</sst>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10515000320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287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574785</v>
      </c>
      <c r="D25" s="77">
        <v>513983</v>
      </c>
      <c r="E25" s="77">
        <v>469822</v>
      </c>
      <c r="F25" s="77">
        <v>386064</v>
      </c>
      <c r="G25" s="77">
        <v>280522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304739</v>
      </c>
      <c r="D26" s="78">
        <v>288831</v>
      </c>
      <c r="E26" s="78">
        <v>272344</v>
      </c>
      <c r="F26" s="78">
        <v>233307</v>
      </c>
      <c r="G26" s="78">
        <v>165536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233194</v>
      </c>
      <c r="D27" s="78">
        <v>211804</v>
      </c>
      <c r="E27" s="78">
        <v>172599</v>
      </c>
      <c r="F27" s="78">
        <v>129858</v>
      </c>
      <c r="G27" s="78">
        <v>100445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3182</v>
      </c>
      <c r="D29" s="78">
        <v>2376</v>
      </c>
      <c r="E29" s="78">
        <v>1809</v>
      </c>
      <c r="F29" s="78">
        <v>1647</v>
      </c>
      <c r="G29" s="78">
        <v>1600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325979</v>
      </c>
      <c r="D37" s="78">
        <v>316632</v>
      </c>
      <c r="E37" s="78">
        <v>282304</v>
      </c>
      <c r="F37" s="78">
        <v>227791</v>
      </c>
      <c r="G37" s="78">
        <v>163188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201875</v>
      </c>
      <c r="D41" s="302">
        <v>146043</v>
      </c>
      <c r="E41" s="302">
        <v>138245</v>
      </c>
      <c r="F41" s="302">
        <v>93404</v>
      </c>
      <c r="G41" s="302">
        <v>62060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0.03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574785</v>
      </c>
      <c r="D91" s="98"/>
      <c r="E91" s="99">
        <f>C91</f>
        <v>574785</v>
      </c>
      <c r="F91" s="99">
        <f>C91</f>
        <v>574785</v>
      </c>
    </row>
    <row r="92" spans="2:8" x14ac:dyDescent="0.35">
      <c r="B92" s="100" t="s">
        <v>97</v>
      </c>
      <c r="C92" s="97">
        <f>C26</f>
        <v>304739</v>
      </c>
      <c r="D92" s="101">
        <f>C92/C91</f>
        <v>0.53017911044999433</v>
      </c>
      <c r="E92" s="102">
        <f>E91*D92</f>
        <v>304739</v>
      </c>
      <c r="F92" s="102">
        <f>F91*D92</f>
        <v>304739</v>
      </c>
    </row>
    <row r="93" spans="2:8" x14ac:dyDescent="0.35">
      <c r="B93" s="100" t="s">
        <v>216</v>
      </c>
      <c r="C93" s="97">
        <f>C27+C28</f>
        <v>233194</v>
      </c>
      <c r="D93" s="101">
        <f>C93/C91</f>
        <v>0.40570648155397238</v>
      </c>
      <c r="E93" s="102">
        <f>E91*D93</f>
        <v>233194</v>
      </c>
      <c r="F93" s="102">
        <f>F91*D93</f>
        <v>233194</v>
      </c>
    </row>
    <row r="94" spans="2:8" x14ac:dyDescent="0.35">
      <c r="B94" s="100" t="s">
        <v>222</v>
      </c>
      <c r="C94" s="97">
        <f>C29</f>
        <v>3182</v>
      </c>
      <c r="D94" s="101">
        <f>C94/C91</f>
        <v>5.5359830197378151E-3</v>
      </c>
      <c r="E94" s="103"/>
      <c r="F94" s="102">
        <f>F91*D94</f>
        <v>3182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AMZN : Amazon.com, Inc.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AMZN</v>
      </c>
      <c r="D3" s="318"/>
      <c r="E3" s="3"/>
      <c r="F3" s="9" t="s">
        <v>1</v>
      </c>
      <c r="G3" s="10">
        <v>220.22</v>
      </c>
      <c r="H3" s="11" t="s">
        <v>288</v>
      </c>
    </row>
    <row r="4" spans="1:10" ht="15.75" customHeight="1" x14ac:dyDescent="0.35">
      <c r="B4" s="12" t="s">
        <v>168</v>
      </c>
      <c r="C4" s="312" t="str">
        <f>Inputs!C5</f>
        <v>Amazon.com, Inc.</v>
      </c>
      <c r="D4" s="319"/>
      <c r="E4" s="3"/>
      <c r="F4" s="9" t="s">
        <v>2</v>
      </c>
      <c r="G4" s="322">
        <f>Inputs!C10</f>
        <v>10515000320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45644</v>
      </c>
      <c r="D5" s="321"/>
      <c r="E5" s="16"/>
      <c r="F5" s="12" t="s">
        <v>91</v>
      </c>
      <c r="G5" s="315">
        <f>G3*G4/1000000</f>
        <v>2315613.3704704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0.18254860681114549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6.4114407996033296E-2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1.0889090543976174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2.6147566563467493</v>
      </c>
      <c r="F23" s="39" t="s">
        <v>163</v>
      </c>
      <c r="G23" s="40">
        <f>G3/(Data!C36*Data!C4/Common_Shares*Exchange_Rate)</f>
        <v>11.470530627717151</v>
      </c>
    </row>
    <row r="24" spans="1:8" ht="15.75" customHeight="1" x14ac:dyDescent="0.35">
      <c r="B24" s="41" t="s">
        <v>239</v>
      </c>
      <c r="C24" s="42">
        <f>Fin_Analysis!I81</f>
        <v>5.5359830197378151E-3</v>
      </c>
      <c r="F24" s="39" t="s">
        <v>224</v>
      </c>
      <c r="G24" s="43">
        <f>G3/(Fin_Analysis!H86*G7)</f>
        <v>91.698381169009011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4.1211236137848637</v>
      </c>
      <c r="D29" s="54">
        <f>G29*(1+G20)</f>
        <v>19.358230238688261</v>
      </c>
      <c r="E29" s="3"/>
      <c r="F29" s="55">
        <f>IF(Fin_Analysis!C108="Profit",Fin_Analysis!F100,IF(Fin_Analysis!C108="Dividend",Fin_Analysis!F103,Fin_Analysis!F106))</f>
        <v>4.8483807220998401</v>
      </c>
      <c r="G29" s="314">
        <f>IF(Fin_Analysis!C108="Profit",Fin_Analysis!I100,IF(Fin_Analysis!C108="Dividend",Fin_Analysis!I103,Fin_Analysis!I106))</f>
        <v>16.83324368581588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36852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574785</v>
      </c>
      <c r="D6" s="142">
        <f>IF(Inputs!D25="","",Inputs!D25)</f>
        <v>513983</v>
      </c>
      <c r="E6" s="142">
        <f>IF(Inputs!E25="","",Inputs!E25)</f>
        <v>469822</v>
      </c>
      <c r="F6" s="142">
        <f>IF(Inputs!F25="","",Inputs!F25)</f>
        <v>386064</v>
      </c>
      <c r="G6" s="142">
        <f>IF(Inputs!G25="","",Inputs!G25)</f>
        <v>280522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0.1182957412988368</v>
      </c>
      <c r="D7" s="143">
        <f t="shared" si="1"/>
        <v>9.399517263985091E-2</v>
      </c>
      <c r="E7" s="143">
        <f t="shared" si="1"/>
        <v>0.21695366571345676</v>
      </c>
      <c r="F7" s="143">
        <f t="shared" si="1"/>
        <v>0.37623430604373276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304739</v>
      </c>
      <c r="D8" s="144">
        <f>IF(Inputs!D26="","",Inputs!D26)</f>
        <v>288831</v>
      </c>
      <c r="E8" s="144">
        <f>IF(Inputs!E26="","",Inputs!E26)</f>
        <v>272344</v>
      </c>
      <c r="F8" s="144">
        <f>IF(Inputs!F26="","",Inputs!F26)</f>
        <v>233307</v>
      </c>
      <c r="G8" s="144">
        <f>IF(Inputs!G26="","",Inputs!G26)</f>
        <v>165536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270046</v>
      </c>
      <c r="D9" s="273">
        <f t="shared" si="2"/>
        <v>225152</v>
      </c>
      <c r="E9" s="273">
        <f t="shared" si="2"/>
        <v>197478</v>
      </c>
      <c r="F9" s="273">
        <f t="shared" si="2"/>
        <v>152757</v>
      </c>
      <c r="G9" s="273">
        <f t="shared" si="2"/>
        <v>114986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233194</v>
      </c>
      <c r="D10" s="144">
        <f>IF(Inputs!D27="","",Inputs!D27)</f>
        <v>211804</v>
      </c>
      <c r="E10" s="144">
        <f>IF(Inputs!E27="","",Inputs!E27)</f>
        <v>172599</v>
      </c>
      <c r="F10" s="144">
        <f>IF(Inputs!F27="","",Inputs!F27)</f>
        <v>129858</v>
      </c>
      <c r="G10" s="144">
        <f>IF(Inputs!G27="","",Inputs!G27)</f>
        <v>100445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6.4114407996033296E-2</v>
      </c>
      <c r="D13" s="292">
        <f t="shared" si="3"/>
        <v>2.5969730516378946E-2</v>
      </c>
      <c r="E13" s="292">
        <f t="shared" si="3"/>
        <v>5.2954097509269465E-2</v>
      </c>
      <c r="F13" s="292">
        <f t="shared" si="3"/>
        <v>5.9313999751336569E-2</v>
      </c>
      <c r="G13" s="292">
        <f t="shared" si="3"/>
        <v>5.1835506662579051E-2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36852</v>
      </c>
      <c r="D14" s="294">
        <f t="shared" ref="D14:M14" si="4">IF(D6="","",D9-D10-MAX(D11,0)-MAX(D12,0))</f>
        <v>13348</v>
      </c>
      <c r="E14" s="294">
        <f t="shared" si="4"/>
        <v>24879</v>
      </c>
      <c r="F14" s="294">
        <f t="shared" si="4"/>
        <v>22899</v>
      </c>
      <c r="G14" s="294">
        <f t="shared" si="4"/>
        <v>14541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1.7608630506442913</v>
      </c>
      <c r="D15" s="296">
        <f t="shared" ref="D15:M15" si="5">IF(E14="","",IF(ABS(D14+E14)=ABS(D14)+ABS(E14),IF(D14&lt;0,-1,1)*(D14-E14)/E14,"Turn"))</f>
        <v>-0.4634832589734314</v>
      </c>
      <c r="E15" s="296">
        <f t="shared" si="5"/>
        <v>8.6466657932660812E-2</v>
      </c>
      <c r="F15" s="296">
        <f t="shared" si="5"/>
        <v>0.57478852898700228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-13348</v>
      </c>
      <c r="E16" s="147">
        <f t="shared" si="6"/>
        <v>-24879</v>
      </c>
      <c r="F16" s="147">
        <f t="shared" si="6"/>
        <v>-22899</v>
      </c>
      <c r="G16" s="147">
        <f t="shared" si="6"/>
        <v>-14541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3182</v>
      </c>
      <c r="D19" s="144">
        <f>IF(Inputs!D29="","",Inputs!D29)</f>
        <v>2376</v>
      </c>
      <c r="E19" s="144">
        <f>IF(Inputs!E29="","",Inputs!E29)</f>
        <v>1809</v>
      </c>
      <c r="F19" s="144">
        <f>IF(Inputs!F29="","",Inputs!F29)</f>
        <v>1647</v>
      </c>
      <c r="G19" s="144">
        <f>IF(Inputs!G29="","",Inputs!G29)</f>
        <v>1600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33670</v>
      </c>
      <c r="D24" s="309">
        <f t="shared" si="9"/>
        <v>10972</v>
      </c>
      <c r="E24" s="309">
        <f t="shared" si="9"/>
        <v>23070</v>
      </c>
      <c r="F24" s="309">
        <f t="shared" si="9"/>
        <v>21252</v>
      </c>
      <c r="G24" s="309">
        <f t="shared" si="9"/>
        <v>12941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4.3933818732221616E-2</v>
      </c>
      <c r="D25" s="143">
        <f t="shared" si="10"/>
        <v>1.6010257148582736E-2</v>
      </c>
      <c r="E25" s="143">
        <f t="shared" si="10"/>
        <v>3.6827777328435021E-2</v>
      </c>
      <c r="F25" s="143">
        <f t="shared" si="10"/>
        <v>4.1285900783289815E-2</v>
      </c>
      <c r="G25" s="143">
        <f t="shared" si="10"/>
        <v>3.459889063959333E-2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25252.5</v>
      </c>
      <c r="D26" s="276">
        <f>IF(D6="","",D24*(1-Fin_Analysis!$I$84))</f>
        <v>8229</v>
      </c>
      <c r="E26" s="276">
        <f>IF(E6="","",E24*(1-Fin_Analysis!$I$84))</f>
        <v>17302.5</v>
      </c>
      <c r="F26" s="276">
        <f>IF(F6="","",F24*(1-Fin_Analysis!$I$84))</f>
        <v>15939</v>
      </c>
      <c r="G26" s="276">
        <f>IF(G6="","",G24*(1-Fin_Analysis!$I$84))</f>
        <v>9705.75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2.0687203791469195</v>
      </c>
      <c r="D27" s="305">
        <f t="shared" si="11"/>
        <v>-0.52440398786302556</v>
      </c>
      <c r="E27" s="305">
        <f t="shared" si="11"/>
        <v>8.5544889892715983E-2</v>
      </c>
      <c r="F27" s="305">
        <f t="shared" si="11"/>
        <v>0.64222239394173553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527854</v>
      </c>
      <c r="D29" s="147">
        <f>IF(D36="","",D36+D32)</f>
        <v>462675</v>
      </c>
      <c r="E29" s="147">
        <f t="shared" ref="E29:M29" si="21">IF(E36="","",E36+E32)</f>
        <v>420549</v>
      </c>
      <c r="F29" s="147">
        <f t="shared" si="21"/>
        <v>321195</v>
      </c>
      <c r="G29" s="147">
        <f t="shared" si="21"/>
        <v>225248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325979</v>
      </c>
      <c r="D32" s="144">
        <f>IF(Inputs!D37="","",Inputs!D37)</f>
        <v>316632</v>
      </c>
      <c r="E32" s="144">
        <f>IF(Inputs!E37="","",Inputs!E37)</f>
        <v>282304</v>
      </c>
      <c r="F32" s="144">
        <f>IF(Inputs!F37="","",Inputs!F37)</f>
        <v>227791</v>
      </c>
      <c r="G32" s="144">
        <f>IF(Inputs!G37="","",Inputs!G37)</f>
        <v>163188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201875</v>
      </c>
      <c r="D36" s="144">
        <f>IF(Inputs!D41="","",Inputs!D41)</f>
        <v>146043</v>
      </c>
      <c r="E36" s="144">
        <f>IF(Inputs!E41="","",Inputs!E41)</f>
        <v>138245</v>
      </c>
      <c r="F36" s="144">
        <f>IF(Inputs!F41="","",Inputs!F41)</f>
        <v>93404</v>
      </c>
      <c r="G36" s="144">
        <f>IF(Inputs!G41="","",Inputs!G41)</f>
        <v>62060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527854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6.9814759384223671E-2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0.53017911044999433</v>
      </c>
      <c r="D42" s="150">
        <f t="shared" si="35"/>
        <v>0.56194660134673713</v>
      </c>
      <c r="E42" s="150">
        <f t="shared" si="35"/>
        <v>0.57967485558360399</v>
      </c>
      <c r="F42" s="150">
        <f t="shared" si="35"/>
        <v>0.60432208131294296</v>
      </c>
      <c r="G42" s="150">
        <f t="shared" si="35"/>
        <v>0.59009988521399392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0.40570648155397238</v>
      </c>
      <c r="D43" s="146">
        <f t="shared" si="36"/>
        <v>0.41208366813688391</v>
      </c>
      <c r="E43" s="146">
        <f t="shared" si="36"/>
        <v>0.36737104690712652</v>
      </c>
      <c r="F43" s="146">
        <f t="shared" si="36"/>
        <v>0.33636391893572049</v>
      </c>
      <c r="G43" s="146">
        <f t="shared" si="36"/>
        <v>0.35806460812342705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5.5359830197378151E-3</v>
      </c>
      <c r="D45" s="146">
        <f t="shared" si="38"/>
        <v>4.6227209849352994E-3</v>
      </c>
      <c r="E45" s="146">
        <f t="shared" si="38"/>
        <v>3.8503944046894356E-3</v>
      </c>
      <c r="F45" s="146">
        <f t="shared" si="38"/>
        <v>4.2661320402834759E-3</v>
      </c>
      <c r="G45" s="146">
        <f t="shared" si="38"/>
        <v>5.7036524764546093E-3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5.8578424976295486E-2</v>
      </c>
      <c r="D48" s="281">
        <f t="shared" si="41"/>
        <v>2.1347009531443646E-2</v>
      </c>
      <c r="E48" s="281">
        <f t="shared" si="41"/>
        <v>4.9103703104580031E-2</v>
      </c>
      <c r="F48" s="281">
        <f t="shared" si="41"/>
        <v>5.5047867711053092E-2</v>
      </c>
      <c r="G48" s="281">
        <f t="shared" si="41"/>
        <v>4.6131854186124442E-2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1.0889090543976174</v>
      </c>
      <c r="D50" s="153">
        <f t="shared" si="42"/>
        <v>1.1108942562273734</v>
      </c>
      <c r="E50" s="153">
        <f t="shared" si="42"/>
        <v>1.1171635172120253</v>
      </c>
      <c r="F50" s="153">
        <f t="shared" si="42"/>
        <v>1.2019614253023865</v>
      </c>
      <c r="G50" s="153">
        <f t="shared" si="42"/>
        <v>1.2453917459866459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0.38244476692418738</v>
      </c>
      <c r="D55" s="150" t="e">
        <f t="shared" si="46"/>
        <v>#VALUE!</v>
      </c>
      <c r="E55" s="150" t="e">
        <f t="shared" si="46"/>
        <v>#VALUE!</v>
      </c>
      <c r="F55" s="150" t="e">
        <f t="shared" si="46"/>
        <v>#VALUE!</v>
      </c>
      <c r="G55" s="150" t="e">
        <f t="shared" si="46"/>
        <v>#VALUE!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9.4505494505494503E-2</v>
      </c>
      <c r="D57" s="146">
        <f t="shared" si="48"/>
        <v>0.21655122129055779</v>
      </c>
      <c r="E57" s="146">
        <f t="shared" si="48"/>
        <v>7.841352405721716E-2</v>
      </c>
      <c r="F57" s="146">
        <f t="shared" si="48"/>
        <v>7.7498588368153584E-2</v>
      </c>
      <c r="G57" s="146">
        <f t="shared" si="48"/>
        <v>0.1236380496097674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>Error</v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0.18254860681114551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0.16678637770897833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201875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201875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-325979</v>
      </c>
      <c r="E6" s="170">
        <f>1-D6/D3</f>
        <v>2.6147566563467493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325979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325979</v>
      </c>
      <c r="J48" s="187"/>
    </row>
    <row r="49" spans="2:11" ht="15" customHeight="1" thickTop="1" x14ac:dyDescent="0.35">
      <c r="B49" s="9" t="s">
        <v>13</v>
      </c>
      <c r="C49" s="184">
        <f>Inputs!C41+Inputs!C37</f>
        <v>527854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325979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-31.001330487833975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-31.001330487833975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-31.001330487833975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527854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325979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201875</v>
      </c>
      <c r="D70" s="34">
        <f t="shared" si="2"/>
        <v>-1.6147566563467493</v>
      </c>
      <c r="E70" s="202">
        <f>E68-E69</f>
        <v>-325979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574785</v>
      </c>
      <c r="D74" s="98"/>
      <c r="E74" s="256">
        <f>Inputs!E91</f>
        <v>574785</v>
      </c>
      <c r="F74" s="98"/>
      <c r="H74" s="256">
        <f>Inputs!F91</f>
        <v>574785</v>
      </c>
      <c r="I74" s="98"/>
      <c r="K74" s="75"/>
    </row>
    <row r="75" spans="1:11" ht="15" customHeight="1" x14ac:dyDescent="0.35">
      <c r="B75" s="100" t="s">
        <v>97</v>
      </c>
      <c r="C75" s="97">
        <f>Data!C8</f>
        <v>304739</v>
      </c>
      <c r="D75" s="101">
        <f>C75/$C$74</f>
        <v>0.53017911044999433</v>
      </c>
      <c r="E75" s="256">
        <f>Inputs!E92</f>
        <v>304739</v>
      </c>
      <c r="F75" s="211">
        <f>E75/E74</f>
        <v>0.53017911044999433</v>
      </c>
      <c r="H75" s="256">
        <f>Inputs!F92</f>
        <v>304739</v>
      </c>
      <c r="I75" s="211">
        <f>H75/$H$74</f>
        <v>0.53017911044999433</v>
      </c>
      <c r="K75" s="75"/>
    </row>
    <row r="76" spans="1:11" ht="15" customHeight="1" x14ac:dyDescent="0.35">
      <c r="B76" s="12" t="s">
        <v>87</v>
      </c>
      <c r="C76" s="145">
        <f>C74-C75</f>
        <v>270046</v>
      </c>
      <c r="D76" s="212"/>
      <c r="E76" s="213">
        <f>E74-E75</f>
        <v>270046</v>
      </c>
      <c r="F76" s="212"/>
      <c r="H76" s="213">
        <f>H74-H75</f>
        <v>270046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233194</v>
      </c>
      <c r="D77" s="101">
        <f>C77/$C$74</f>
        <v>0.40570648155397238</v>
      </c>
      <c r="E77" s="256">
        <f>Inputs!E93</f>
        <v>233194</v>
      </c>
      <c r="F77" s="211">
        <f>E77/E74</f>
        <v>0.40570648155397238</v>
      </c>
      <c r="H77" s="256">
        <f>Inputs!F93</f>
        <v>233194</v>
      </c>
      <c r="I77" s="211">
        <f>H77/$H$74</f>
        <v>0.40570648155397238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36852</v>
      </c>
      <c r="D79" s="217">
        <f>C79/C74</f>
        <v>6.4114407996033296E-2</v>
      </c>
      <c r="E79" s="218">
        <f>E76-E77-E78</f>
        <v>36852</v>
      </c>
      <c r="F79" s="217">
        <f>E79/E74</f>
        <v>6.4114407996033296E-2</v>
      </c>
      <c r="G79" s="219"/>
      <c r="H79" s="218">
        <f>H76-H77-H78</f>
        <v>36852</v>
      </c>
      <c r="I79" s="217">
        <f>H79/H74</f>
        <v>6.4114407996033296E-2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3182</v>
      </c>
      <c r="D81" s="101">
        <f>C81/$C$74</f>
        <v>5.5359830197378151E-3</v>
      </c>
      <c r="E81" s="214">
        <f>E74*F81</f>
        <v>3182</v>
      </c>
      <c r="F81" s="211">
        <f>I81</f>
        <v>5.5359830197378151E-3</v>
      </c>
      <c r="H81" s="256">
        <f>Inputs!F94</f>
        <v>3182</v>
      </c>
      <c r="I81" s="211">
        <f>H81/$H$74</f>
        <v>5.5359830197378151E-3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33670</v>
      </c>
      <c r="D83" s="223">
        <f>C83/$C$74</f>
        <v>5.8578424976295486E-2</v>
      </c>
      <c r="E83" s="224">
        <f>E79-E81-E82-E80</f>
        <v>33670</v>
      </c>
      <c r="F83" s="223">
        <f>E83/E74</f>
        <v>5.8578424976295486E-2</v>
      </c>
      <c r="H83" s="224">
        <f>H79-H81-H82-H80</f>
        <v>33670</v>
      </c>
      <c r="I83" s="223">
        <f>H83/$H$74</f>
        <v>5.8578424976295486E-2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25252.5</v>
      </c>
      <c r="D85" s="217">
        <f>C85/$C$74</f>
        <v>4.3933818732221616E-2</v>
      </c>
      <c r="E85" s="229">
        <f>E83*(1-F84)</f>
        <v>25252.5</v>
      </c>
      <c r="F85" s="217">
        <f>E85/E74</f>
        <v>4.3933818732221616E-2</v>
      </c>
      <c r="G85" s="219"/>
      <c r="H85" s="229">
        <f>H83*(1-I84)</f>
        <v>25252.5</v>
      </c>
      <c r="I85" s="217">
        <f>H85/$H$74</f>
        <v>4.3933818732221616E-2</v>
      </c>
      <c r="K85" s="75"/>
    </row>
    <row r="86" spans="1:11" ht="15" customHeight="1" x14ac:dyDescent="0.35">
      <c r="B86" s="3" t="s">
        <v>143</v>
      </c>
      <c r="C86" s="230">
        <f>C85*Data!C4/Common_Shares</f>
        <v>2.4015691137896229</v>
      </c>
      <c r="D86" s="98"/>
      <c r="E86" s="231">
        <f>E85*Data!C4/Common_Shares</f>
        <v>2.4015691137896229</v>
      </c>
      <c r="F86" s="98"/>
      <c r="H86" s="231">
        <f>H85*Data!C4/Common_Shares</f>
        <v>2.4015691137896229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1.0905317926571715E-2</v>
      </c>
      <c r="D87" s="98"/>
      <c r="E87" s="233">
        <f>E86*Exchange_Rate/Dashboard!G3</f>
        <v>1.0905317926571715E-2</v>
      </c>
      <c r="F87" s="98"/>
      <c r="H87" s="233">
        <f>H86*Exchange_Rate/Dashboard!G3</f>
        <v>1.0905317926571715E-2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62.701368966869282</v>
      </c>
      <c r="H93" s="3" t="s">
        <v>182</v>
      </c>
      <c r="I93" s="237">
        <f>FV(H87,D93,0,-(H86/(C93-D94)))*Exchange_Rate</f>
        <v>62.701368966869282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376959.72484436166</v>
      </c>
      <c r="D97" s="244"/>
      <c r="E97" s="245">
        <f>PV(C94,D93,0,-F93)</f>
        <v>35.849711209933815</v>
      </c>
      <c r="F97" s="244"/>
      <c r="H97" s="245">
        <f>PV(C94,D93,0,-I93)</f>
        <v>35.849711209933815</v>
      </c>
      <c r="I97" s="245">
        <f>PV(C93,D93,0,-I93)</f>
        <v>47.834574173649855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-325979</v>
      </c>
      <c r="D99" s="248"/>
      <c r="E99" s="249">
        <f>IF(H99&gt;0,I64,H99)</f>
        <v>-31.001330487833975</v>
      </c>
      <c r="F99" s="248"/>
      <c r="H99" s="249">
        <f>I64</f>
        <v>-31.001330487833975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4.1211236137848637</v>
      </c>
      <c r="E100" s="251">
        <f>MAX(E97+H98+E99,0)</f>
        <v>4.8483807220998401</v>
      </c>
      <c r="F100" s="251">
        <f>(E100+H100)/2</f>
        <v>4.8483807220998401</v>
      </c>
      <c r="H100" s="251">
        <f>MAX(H97+H98+H99,0)</f>
        <v>4.8483807220998401</v>
      </c>
      <c r="I100" s="251">
        <f>MAX(I97+H98+H99,0)</f>
        <v>16.83324368581588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2.0605618068924318</v>
      </c>
      <c r="E106" s="245">
        <f>(E100+E103)/2</f>
        <v>2.42419036104992</v>
      </c>
      <c r="F106" s="251">
        <f>(F100+F103)/2</f>
        <v>2.42419036104992</v>
      </c>
      <c r="H106" s="245">
        <f>(H100+H103)/2</f>
        <v>2.42419036104992</v>
      </c>
      <c r="I106" s="245">
        <f>(I100+I103)/2</f>
        <v>8.41662184290794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