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1CD25FF-AF83-4E90-B58F-2086698BF77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<sst xmlns="http://schemas.openxmlformats.org/spreadsheetml/2006/main" count="391" uniqueCount="268">
  <si>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</si>
  <si>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</si>
  <si>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</si>
  <si>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</si>
  <si>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</si>
  <si>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</si>
  <si>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</si>
  <si>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</si>
  <si>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</si>
  <si>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</si>
  <si>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</si>
  <si>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</si>
  <si>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</si>
  <si>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</si>
  <si>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</si>
  <si>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</si>
  <si>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</si>
  <si>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</si>
  <si>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</si>
  <si>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</si>
  <si>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</si>
  <si>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</si>
  <si>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</si>
  <si>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</si>
  <si>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</si>
  <si>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</si>
  <si>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</si>
  <si>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</si>
  <si>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</si>
  <si>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</si>
  <si>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</si>
  <si>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</si>
  <si>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</si>
  <si>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</si>
  <si>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</si>
  <si>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</si>
  <si>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</si>
  <si>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</si>
  <si>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</si>
  <si>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</si>
  <si>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</si>
  <si>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</si>
  <si>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</si>
  <si>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</si>
  <si>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</si>
  <si>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</si>
  <si>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</si>
  <si>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</si>
  <si>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</si>
  <si>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</si>
  <si>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</si>
  <si>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</si>
  <si>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</si>
  <si>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</si>
  <si>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</si>
  <si>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</si>
  <si>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</si>
  <si>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</si>
  <si>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</si>
  <si>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</si>
  <si>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</si>
  <si>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</si>
  <si>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</si>
  <si>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</si>
  <si>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</si>
  <si>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</si>
  <si>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</si>
  <si>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</si>
  <si>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</si>
  <si>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</si>
  <si>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</si>
  <si>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</si>
  <si>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</si>
  <si>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</si>
  <si>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</si>
  <si>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</si>
  <si>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</si>
  <si>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</si>
  <si>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</si>
  <si>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</si>
  <si>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</si>
  <si>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</si>
  <si>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</si>
  <si>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</si>
  <si>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</si>
  <si>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</si>
  <si>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</si>
  <si>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</si>
  <si>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</si>
  <si>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</si>
  <si>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</si>
  <si>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</si>
  <si>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</si>
  <si>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</si>
  <si>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</si>
  <si>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</si>
  <si>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</si>
  <si>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</si>
  <si>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</si>
  <si>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</si>
  <si>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</si>
  <si>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</si>
  <si>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</si>
  <si>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</si>
  <si>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</si>
  <si>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</si>
  <si>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</si>
  <si>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</si>
  <si>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</si>
  <si>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</si>
  <si>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</si>
  <si>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</si>
  <si>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</si>
  <si>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</si>
  <si>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</si>
  <si>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</si>
  <si>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</si>
  <si>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</si>
  <si>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</si>
  <si>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</si>
  <si>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</si>
  <si>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</si>
  <si>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</si>
  <si>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</si>
  <si>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</si>
  <si>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</si>
  <si>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</si>
  <si>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</si>
  <si>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</si>
  <si>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</si>
  <si>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</si>
  <si>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</si>
  <si>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</si>
  <si>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</si>
  <si>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</si>
  <si>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</si>
  <si>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</si>
  <si>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</si>
  <si>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</si>
  <si>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</si>
  <si>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</si>
  <si>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</si>
  <si>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</si>
  <si>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</si>
  <si>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</si>
  <si>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</si>
  <si>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</si>
  <si>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</si>
  <si>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</si>
  <si>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</si>
  <si>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</si>
  <si>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</si>
  <si>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</si>
  <si>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</si>
  <si>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</si>
  <si>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</si>
  <si>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</si>
  <si>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</si>
  <si>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</si>
  <si>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</si>
  <si>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</si>
  <si>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</si>
  <si>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</si>
  <si>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</si>
  <si>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</si>
  <si>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</si>
  <si>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</si>
  <si>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</si>
  <si>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</si>
  <si>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</si>
  <si>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</si>
  <si>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</si>
  <si>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</si>
  <si>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</si>
  <si>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</si>
  <si>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</si>
  <si>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</si>
  <si>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</si>
  <si>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</si>
  <si>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</si>
  <si>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</si>
  <si>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</si>
  <si>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</si>
  <si>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</si>
  <si>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</si>
  <si>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</si>
  <si>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</si>
  <si>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</si>
  <si>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</si>
  <si>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</si>
  <si>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</si>
  <si>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</si>
  <si>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</si>
  <si>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</si>
  <si>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</si>
  <si>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</si>
  <si>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</si>
  <si>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</si>
  <si>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</si>
  <si>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</si>
  <si>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</si>
  <si>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</si>
  <si>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</si>
  <si>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</si>
  <si>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</si>
  <si>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</si>
  <si>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</si>
  <si>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</si>
  <si>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</si>
  <si>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</si>
  <si>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</si>
  <si>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</si>
  <si>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</si>
  <si>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</si>
  <si>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</si>
  <si>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</si>
  <si>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</si>
  <si>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</si>
  <si>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</si>
  <si>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</si>
  <si>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</si>
  <si>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</si>
  <si>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</si>
  <si>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</si>
  <si>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</si>
  <si>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</si>
  <si>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</si>
  <si>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</si>
  <si>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</si>
  <si>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</si>
  <si>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</si>
  <si>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</si>
  <si>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</si>
  <si>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</si>
  <si>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</si>
  <si>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</si>
  <si>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</si>
  <si>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</si>
  <si>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</si>
  <si>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</si>
  <si>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</si>
  <si>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</si>
  <si>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</si>
  <si>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</si>
  <si>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</si>
  <si>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</si>
  <si>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</si>
  <si>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</si>
  <si>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</si>
  <si>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</si>
  <si>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</si>
  <si>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</si>
  <si>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</si>
  <si>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</si>
  <si>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</si>
  <si>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</si>
  <si>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</si>
  <si>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</si>
  <si>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0005.HK</t>
  </si>
  <si>
    <t>HSBC</t>
  </si>
  <si>
    <t xml:space="preserve">Superior Cycl. </t>
  </si>
  <si>
    <t>C0014</t>
  </si>
  <si>
    <t>USD</t>
  </si>
  <si>
    <t>UK Tax Rate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</si>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</sst>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3.237354486453075E-2</c:v>
                </c:pt>
                <c:pt idx="1">
                  <c:v>0.27531678170392498</c:v>
                </c:pt>
                <c:pt idx="2">
                  <c:v>2.3869305285384647E-2</c:v>
                </c:pt>
                <c:pt idx="3">
                  <c:v>0</c:v>
                </c:pt>
                <c:pt idx="4">
                  <c:v>0.55863466227121317</c:v>
                </c:pt>
                <c:pt idx="5">
                  <c:v>0</c:v>
                </c:pt>
                <c:pt idx="6">
                  <c:v>0.10980570587494648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89" sqref="E89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18208334222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 t="s">
        <v>263</v>
      </c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264</v>
      </c>
      <c r="D18" s="24"/>
    </row>
    <row r="19" spans="2:13" ht="13.9" x14ac:dyDescent="0.4">
      <c r="B19" s="240" t="s">
        <v>239</v>
      </c>
      <c r="C19" s="242" t="s">
        <v>264</v>
      </c>
      <c r="D19" s="24"/>
    </row>
    <row r="20" spans="2:13" ht="13.9" x14ac:dyDescent="0.4">
      <c r="B20" s="241" t="s">
        <v>228</v>
      </c>
      <c r="C20" s="242" t="s">
        <v>264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116484</v>
      </c>
      <c r="D25" s="149">
        <v>67950</v>
      </c>
      <c r="E25" s="149">
        <v>52976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3771</v>
      </c>
      <c r="D26" s="150">
        <v>3354</v>
      </c>
      <c r="E26" s="150">
        <v>3691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32070</v>
      </c>
      <c r="D27" s="150">
        <v>32701</v>
      </c>
      <c r="E27" s="150">
        <v>34620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65072</v>
      </c>
      <c r="D29" s="150">
        <v>22449</v>
      </c>
      <c r="E29" s="150">
        <v>9699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2127</v>
      </c>
      <c r="D30" s="150">
        <v>1822</v>
      </c>
      <c r="E30" s="150">
        <v>2079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0.82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8.6644216392018122E-2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266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116484</v>
      </c>
      <c r="D91" s="209"/>
      <c r="E91" s="251">
        <f>C91</f>
        <v>116484</v>
      </c>
      <c r="F91" s="251">
        <f>C91</f>
        <v>116484</v>
      </c>
    </row>
    <row r="92" spans="2:8" ht="13.9" x14ac:dyDescent="0.4">
      <c r="B92" s="104" t="s">
        <v>105</v>
      </c>
      <c r="C92" s="77">
        <f>C26</f>
        <v>3771</v>
      </c>
      <c r="D92" s="159">
        <f>C92/C91</f>
        <v>3.237354486453075E-2</v>
      </c>
      <c r="E92" s="252">
        <f>E91*D92</f>
        <v>3771</v>
      </c>
      <c r="F92" s="252">
        <f>F91*D92</f>
        <v>3771</v>
      </c>
    </row>
    <row r="93" spans="2:8" ht="13.9" x14ac:dyDescent="0.4">
      <c r="B93" s="104" t="s">
        <v>246</v>
      </c>
      <c r="C93" s="77">
        <f>C27+C28</f>
        <v>32070</v>
      </c>
      <c r="D93" s="159">
        <f>C93/C91</f>
        <v>0.27531678170392498</v>
      </c>
      <c r="E93" s="252">
        <f>E91*D93</f>
        <v>32069.999999999996</v>
      </c>
      <c r="F93" s="252">
        <f>F91*D93</f>
        <v>32069.999999999996</v>
      </c>
    </row>
    <row r="94" spans="2:8" ht="13.9" x14ac:dyDescent="0.4">
      <c r="B94" s="104" t="s">
        <v>255</v>
      </c>
      <c r="C94" s="77">
        <f>C29</f>
        <v>65072</v>
      </c>
      <c r="D94" s="159">
        <f>C94/C91</f>
        <v>0.55863466227121317</v>
      </c>
      <c r="E94" s="253"/>
      <c r="F94" s="252">
        <f>F91*D94</f>
        <v>65071.999999999993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2780.3921568627452</v>
      </c>
      <c r="D97" s="159">
        <f>C97/C91</f>
        <v>2.3869305285384647E-2</v>
      </c>
      <c r="E97" s="253"/>
      <c r="F97" s="252">
        <f>F91*D97</f>
        <v>2780.3921568627452</v>
      </c>
    </row>
    <row r="98" spans="2:7" ht="13.9" x14ac:dyDescent="0.4">
      <c r="B98" s="86" t="s">
        <v>207</v>
      </c>
      <c r="C98" s="237">
        <f>C44</f>
        <v>0.82</v>
      </c>
      <c r="D98" s="266"/>
      <c r="E98" s="254">
        <f>F98</f>
        <v>0.61</v>
      </c>
      <c r="F98" s="254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0005.HK</v>
      </c>
      <c r="D3" s="278"/>
      <c r="E3" s="87"/>
      <c r="F3" s="3" t="s">
        <v>1</v>
      </c>
      <c r="G3" s="132">
        <v>73.650000000000006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HSBC</v>
      </c>
      <c r="D4" s="280"/>
      <c r="E4" s="87"/>
      <c r="F4" s="3" t="s">
        <v>2</v>
      </c>
      <c r="G4" s="283">
        <f>Inputs!C10</f>
        <v>18208334222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1341043.8154503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7.7821299235026045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3.237354486453075E-2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0.27531678170392498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2.3869305285384647E-2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0.55863466227121317</v>
      </c>
      <c r="F24" s="140" t="s">
        <v>257</v>
      </c>
      <c r="G24" s="268">
        <f>G3/(Fin_Analysis!H86*G7)</f>
        <v>17.611318509419466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1.1351347854221043</v>
      </c>
    </row>
    <row r="26" spans="1:8" ht="15.75" customHeight="1" x14ac:dyDescent="0.4">
      <c r="B26" s="138" t="s">
        <v>173</v>
      </c>
      <c r="C26" s="171">
        <f>Fin_Analysis!I83</f>
        <v>0.10980570587494648</v>
      </c>
      <c r="F26" s="141" t="s">
        <v>193</v>
      </c>
      <c r="G26" s="178">
        <f>Fin_Analysis!H88*Exchange_Rate/G3</f>
        <v>6.4454843901379344E-2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41.538452553627849</v>
      </c>
      <c r="D29" s="129">
        <f>G29*(1+G20)</f>
        <v>74.828890121660308</v>
      </c>
      <c r="E29" s="87"/>
      <c r="F29" s="131">
        <f>IF(Fin_Analysis!C108="Profit",Fin_Analysis!F100,IF(Fin_Analysis!C108="Dividend",Fin_Analysis!F103,Fin_Analysis!F106))</f>
        <v>48.868767710150408</v>
      </c>
      <c r="G29" s="274">
        <f>IF(Fin_Analysis!C108="Profit",Fin_Analysis!I100,IF(Fin_Analysis!C108="Dividend",Fin_Analysis!I103,Fin_Analysis!I106))</f>
        <v>65.068600105791575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77862.607843137259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116484</v>
      </c>
      <c r="D6" s="200">
        <f>IF(Inputs!D25="","",Inputs!D25)</f>
        <v>67950</v>
      </c>
      <c r="E6" s="200">
        <f>IF(Inputs!E25="","",Inputs!E25)</f>
        <v>52976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3771</v>
      </c>
      <c r="D8" s="199">
        <f>IF(Inputs!D26="","",Inputs!D26)</f>
        <v>3354</v>
      </c>
      <c r="E8" s="199">
        <f>IF(Inputs!E26="","",Inputs!E26)</f>
        <v>3691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112713</v>
      </c>
      <c r="D9" s="151">
        <f t="shared" si="2"/>
        <v>64596</v>
      </c>
      <c r="E9" s="151">
        <f t="shared" si="2"/>
        <v>49285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32070</v>
      </c>
      <c r="D10" s="199">
        <f>IF(Inputs!D27="","",Inputs!D27)</f>
        <v>32701</v>
      </c>
      <c r="E10" s="199">
        <f>IF(Inputs!E27="","",Inputs!E27)</f>
        <v>34620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2780.3921568627452</v>
      </c>
      <c r="D12" s="199">
        <f>IF(Inputs!D30="","",MAX(Inputs!D30,0)/(1-Fin_Analysis!$I$84))</f>
        <v>2381.6993464052289</v>
      </c>
      <c r="E12" s="199">
        <f>IF(Inputs!E30="","",MAX(Inputs!E30,0)/(1-Fin_Analysis!$I$84))</f>
        <v>2717.6470588235293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0.66844036814615959</v>
      </c>
      <c r="D13" s="229">
        <f t="shared" si="3"/>
        <v>0.43433849379830419</v>
      </c>
      <c r="E13" s="229">
        <f t="shared" si="3"/>
        <v>0.22552387762716081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77862.607843137259</v>
      </c>
      <c r="D14" s="230">
        <f t="shared" ref="D14:M14" si="4">IF(D6="","",D9-D10-MAX(D11,0)-MAX(D12,0))</f>
        <v>29513.300653594772</v>
      </c>
      <c r="E14" s="230">
        <f t="shared" si="4"/>
        <v>11947.35294117647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1.6382209417045821</v>
      </c>
      <c r="D15" s="232">
        <f t="shared" ref="D15:M15" si="5">IF(E14="","",IF(ABS(D14+E14)=ABS(D14)+ABS(E14),IF(D14&lt;0,-1,1)*(D14-E14)/E14,"Turn"))</f>
        <v>1.4702794668329739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65072</v>
      </c>
      <c r="D17" s="199">
        <f>IF(Inputs!D29="","",Inputs!D29)</f>
        <v>22449</v>
      </c>
      <c r="E17" s="199">
        <f>IF(Inputs!E29="","",Inputs!E29)</f>
        <v>9699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12790.607843137259</v>
      </c>
      <c r="D22" s="161">
        <f t="shared" ref="D22:M22" si="8">IF(D6="","",D14-MAX(D16,0)-MAX(D17,0)-ABS(MAX(D21,0)-MAX(D19,0)))</f>
        <v>7064.3006535947716</v>
      </c>
      <c r="E22" s="161">
        <f t="shared" si="8"/>
        <v>2248.3529411764703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8.4001364994333999E-2</v>
      </c>
      <c r="D23" s="153">
        <f t="shared" si="9"/>
        <v>7.9531861662987494E-2</v>
      </c>
      <c r="E23" s="153">
        <f t="shared" si="9"/>
        <v>3.2467343702808814E-2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0.81059788793510246</v>
      </c>
      <c r="D25" s="233">
        <f t="shared" ref="D25:M25" si="10">IF(E24="","",IF(ABS(D24+E24)=ABS(D24)+ABS(E24),IF(D24&lt;0,-1,1)*(D24-E24)/E24,"Turn"))</f>
        <v>2.1419891976116148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3.237354486453075E-2</v>
      </c>
      <c r="D42" s="156">
        <f t="shared" si="34"/>
        <v>4.9359823399558501E-2</v>
      </c>
      <c r="E42" s="156">
        <f t="shared" si="34"/>
        <v>6.9673059498640888E-2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0.27531678170392498</v>
      </c>
      <c r="D43" s="153">
        <f t="shared" si="35"/>
        <v>0.48125091979396617</v>
      </c>
      <c r="E43" s="153">
        <f t="shared" si="35"/>
        <v>0.65350347327091518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0.55863466227121317</v>
      </c>
      <c r="D45" s="153">
        <f t="shared" si="37"/>
        <v>0.33037527593818983</v>
      </c>
      <c r="E45" s="153">
        <f t="shared" si="37"/>
        <v>0.18308290546662639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2.3869305285384647E-2</v>
      </c>
      <c r="D46" s="153">
        <f t="shared" ref="D46:M46" si="38">IF(D6="","",MAX(D12,0)/D6)</f>
        <v>3.5050763008171136E-2</v>
      </c>
      <c r="E46" s="153">
        <f t="shared" si="38"/>
        <v>5.1299589603283173E-2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0.10980570587494642</v>
      </c>
      <c r="D48" s="153">
        <f t="shared" si="40"/>
        <v>0.10396321786011437</v>
      </c>
      <c r="E48" s="153">
        <f t="shared" si="40"/>
        <v>4.2440972160534399E-2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5.0874830030000551</v>
      </c>
      <c r="D55" s="153">
        <f t="shared" si="45"/>
        <v>3.1778092554110788</v>
      </c>
      <c r="E55" s="153">
        <f t="shared" si="45"/>
        <v>4.3138244989796455</v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116484</v>
      </c>
      <c r="D74" s="209"/>
      <c r="E74" s="238">
        <f>Inputs!E91</f>
        <v>116484</v>
      </c>
      <c r="F74" s="209"/>
      <c r="H74" s="238">
        <f>Inputs!F91</f>
        <v>116484</v>
      </c>
      <c r="I74" s="209"/>
      <c r="K74" s="24"/>
    </row>
    <row r="75" spans="1:11" ht="15" customHeight="1" x14ac:dyDescent="0.4">
      <c r="B75" s="104" t="s">
        <v>105</v>
      </c>
      <c r="C75" s="77">
        <f>Data!C8</f>
        <v>3771</v>
      </c>
      <c r="D75" s="159">
        <f>C75/$C$74</f>
        <v>3.237354486453075E-2</v>
      </c>
      <c r="E75" s="238">
        <f>Inputs!E92</f>
        <v>3771</v>
      </c>
      <c r="F75" s="160">
        <f>E75/E74</f>
        <v>3.237354486453075E-2</v>
      </c>
      <c r="H75" s="238">
        <f>Inputs!F92</f>
        <v>3771</v>
      </c>
      <c r="I75" s="160">
        <f>H75/$H$74</f>
        <v>3.237354486453075E-2</v>
      </c>
      <c r="K75" s="24"/>
    </row>
    <row r="76" spans="1:11" ht="15" customHeight="1" x14ac:dyDescent="0.4">
      <c r="B76" s="35" t="s">
        <v>95</v>
      </c>
      <c r="C76" s="161">
        <f>C74-C75</f>
        <v>112713</v>
      </c>
      <c r="D76" s="210"/>
      <c r="E76" s="162">
        <f>E74-E75</f>
        <v>112713</v>
      </c>
      <c r="F76" s="210"/>
      <c r="H76" s="162">
        <f>H74-H75</f>
        <v>112713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32070</v>
      </c>
      <c r="D77" s="159">
        <f>C77/$C$74</f>
        <v>0.27531678170392498</v>
      </c>
      <c r="E77" s="238">
        <f>Inputs!E93</f>
        <v>32069.999999999996</v>
      </c>
      <c r="F77" s="160">
        <f>E77/E74</f>
        <v>0.27531678170392498</v>
      </c>
      <c r="H77" s="238">
        <f>Inputs!F93</f>
        <v>32069.999999999996</v>
      </c>
      <c r="I77" s="160">
        <f>H77/$H$74</f>
        <v>0.27531678170392498</v>
      </c>
      <c r="K77" s="24"/>
    </row>
    <row r="78" spans="1:11" ht="15" customHeight="1" x14ac:dyDescent="0.4">
      <c r="B78" s="73" t="s">
        <v>172</v>
      </c>
      <c r="C78" s="77">
        <f>MAX(Data!C12,0)</f>
        <v>2780.3921568627452</v>
      </c>
      <c r="D78" s="159">
        <f>C78/$C$74</f>
        <v>2.3869305285384647E-2</v>
      </c>
      <c r="E78" s="180">
        <f>E74*F78</f>
        <v>2780.3921568627452</v>
      </c>
      <c r="F78" s="160">
        <f>I78</f>
        <v>2.3869305285384647E-2</v>
      </c>
      <c r="H78" s="238">
        <f>Inputs!F97</f>
        <v>2780.3921568627452</v>
      </c>
      <c r="I78" s="160">
        <f>H78/$H$74</f>
        <v>2.3869305285384647E-2</v>
      </c>
      <c r="K78" s="24"/>
    </row>
    <row r="79" spans="1:11" ht="15" customHeight="1" x14ac:dyDescent="0.4">
      <c r="B79" s="256" t="s">
        <v>232</v>
      </c>
      <c r="C79" s="257">
        <f>C76-C77-C78</f>
        <v>77862.607843137259</v>
      </c>
      <c r="D79" s="258">
        <f>C79/C74</f>
        <v>0.66844036814615959</v>
      </c>
      <c r="E79" s="259">
        <f>E76-E77-E78</f>
        <v>77862.607843137259</v>
      </c>
      <c r="F79" s="258">
        <f>E79/E74</f>
        <v>0.66844036814615959</v>
      </c>
      <c r="G79" s="260"/>
      <c r="H79" s="259">
        <f>H76-H77-H78</f>
        <v>77862.607843137259</v>
      </c>
      <c r="I79" s="258">
        <f>H79/H74</f>
        <v>0.66844036814615959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65072</v>
      </c>
      <c r="D81" s="159">
        <f>C81/$C$74</f>
        <v>0.55863466227121317</v>
      </c>
      <c r="E81" s="180">
        <f>E74*F81</f>
        <v>65071.999999999993</v>
      </c>
      <c r="F81" s="160">
        <f>I81</f>
        <v>0.55863466227121317</v>
      </c>
      <c r="H81" s="238">
        <f>Inputs!F94</f>
        <v>65071.999999999993</v>
      </c>
      <c r="I81" s="160">
        <f>H81/$H$74</f>
        <v>0.55863466227121317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12790.607843137259</v>
      </c>
      <c r="D83" s="164">
        <f>C83/$C$74</f>
        <v>0.10980570587494642</v>
      </c>
      <c r="E83" s="165">
        <f>E79-E81-E82-E80</f>
        <v>12790.607843137266</v>
      </c>
      <c r="F83" s="164">
        <f>E83/E74</f>
        <v>0.10980570587494648</v>
      </c>
      <c r="H83" s="165">
        <f>H79-H81-H82-H80</f>
        <v>12790.607843137266</v>
      </c>
      <c r="I83" s="164">
        <f>H83/$H$74</f>
        <v>0.10980570587494648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9784.8150000000023</v>
      </c>
      <c r="D85" s="258">
        <f>C85/$C$74</f>
        <v>8.4001364994333999E-2</v>
      </c>
      <c r="E85" s="264">
        <f>E83*(1-F84)</f>
        <v>9784.8150000000096</v>
      </c>
      <c r="F85" s="258">
        <f>E85/E74</f>
        <v>8.4001364994334068E-2</v>
      </c>
      <c r="G85" s="260"/>
      <c r="H85" s="264">
        <f>H83*(1-I84)</f>
        <v>9784.8150000000096</v>
      </c>
      <c r="I85" s="258">
        <f>H85/$H$74</f>
        <v>8.4001364994334068E-2</v>
      </c>
      <c r="K85" s="24"/>
    </row>
    <row r="86" spans="1:11" ht="15" customHeight="1" x14ac:dyDescent="0.4">
      <c r="B86" s="87" t="s">
        <v>160</v>
      </c>
      <c r="C86" s="167">
        <f>C85*Data!C4/Common_Shares</f>
        <v>0.53738111793761001</v>
      </c>
      <c r="D86" s="209"/>
      <c r="E86" s="168">
        <f>E85*Data!C4/Common_Shares</f>
        <v>0.53738111793761045</v>
      </c>
      <c r="F86" s="209"/>
      <c r="H86" s="168">
        <f>H85*Data!C4/Common_Shares</f>
        <v>0.53738111793761045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5.678166569215963E-2</v>
      </c>
      <c r="D87" s="209"/>
      <c r="E87" s="262">
        <f>E86*Exchange_Rate/Dashboard!G3</f>
        <v>5.6781665692159679E-2</v>
      </c>
      <c r="F87" s="209"/>
      <c r="H87" s="262">
        <f>H86*Exchange_Rate/Dashboard!G3</f>
        <v>5.6781665692159679E-2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0.82</v>
      </c>
      <c r="D88" s="166">
        <f>C88/C86</f>
        <v>1.5259188918788955</v>
      </c>
      <c r="E88" s="170">
        <f>Inputs!E98</f>
        <v>0.61</v>
      </c>
      <c r="F88" s="166">
        <f>E88/E86</f>
        <v>1.1351347854221043</v>
      </c>
      <c r="H88" s="170">
        <f>Inputs!F98</f>
        <v>0.61</v>
      </c>
      <c r="I88" s="166">
        <f>H88/H86</f>
        <v>1.1351347854221043</v>
      </c>
      <c r="K88" s="24"/>
    </row>
    <row r="89" spans="1:11" ht="15" customHeight="1" x14ac:dyDescent="0.4">
      <c r="B89" s="87" t="s">
        <v>221</v>
      </c>
      <c r="C89" s="261">
        <f>C88*Exchange_Rate/Dashboard!G3</f>
        <v>8.6644216392018122E-2</v>
      </c>
      <c r="D89" s="209"/>
      <c r="E89" s="261">
        <f>E88*Exchange_Rate/Dashboard!G3</f>
        <v>6.4454843901379344E-2</v>
      </c>
      <c r="F89" s="209"/>
      <c r="H89" s="261">
        <f>H88*Exchange_Rate/Dashboard!G3</f>
        <v>6.4454843901379344E-2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209</v>
      </c>
      <c r="F93" s="144">
        <f>FV(E87,D93,0,-(E86/(C93-D94)))*Exchange_Rate</f>
        <v>83.514770908128938</v>
      </c>
      <c r="H93" s="87" t="s">
        <v>209</v>
      </c>
      <c r="I93" s="144">
        <f>FV(H87,D93,0,-(H86/(C93-D94)))*Exchange_Rate</f>
        <v>83.514770908128938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98.292547178078905</v>
      </c>
      <c r="H94" s="87" t="s">
        <v>210</v>
      </c>
      <c r="I94" s="144">
        <f>FV(H89,D93,0,-(H88/(C93-D94)))*Exchange_Rate</f>
        <v>98.292547178078905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756039.19115881785</v>
      </c>
      <c r="D97" s="213"/>
      <c r="E97" s="123">
        <f>PV(C94,D93,0,-F93)</f>
        <v>41.521601149288145</v>
      </c>
      <c r="F97" s="213"/>
      <c r="H97" s="123">
        <f>PV(C94,D93,0,-I93)</f>
        <v>41.521601149288145</v>
      </c>
      <c r="I97" s="123">
        <f>PV(C93,D93,0,-I93)</f>
        <v>55.285872501631182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756039.19115881785</v>
      </c>
      <c r="D100" s="109">
        <f>MIN(F100*(1-C94),E100)</f>
        <v>35.293360976894924</v>
      </c>
      <c r="E100" s="109">
        <f>MAX(E97-H98+E99,0)</f>
        <v>41.521601149288145</v>
      </c>
      <c r="F100" s="109">
        <f>(E100+H100)/2</f>
        <v>41.521601149288145</v>
      </c>
      <c r="H100" s="109">
        <f>MAX(C100*Data!$C$4/Common_Shares,0)</f>
        <v>41.521601149288145</v>
      </c>
      <c r="I100" s="109">
        <f>MAX(I97-H98+H99,0)</f>
        <v>55.285872501631182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889818.85548370017</v>
      </c>
      <c r="D103" s="109">
        <f>MIN(F103*(1-C94),E103)</f>
        <v>41.538452553627849</v>
      </c>
      <c r="E103" s="123">
        <f>PV(C94,D93,0,-F94)</f>
        <v>48.868767710150408</v>
      </c>
      <c r="F103" s="109">
        <f>(E103+H103)/2</f>
        <v>48.868767710150408</v>
      </c>
      <c r="H103" s="123">
        <f>PV(C94,D93,0,-I94)</f>
        <v>48.868767710150408</v>
      </c>
      <c r="I103" s="109">
        <f>PV(C93,D93,0,-I94)</f>
        <v>65.068600105791575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822929.02332125907</v>
      </c>
      <c r="D106" s="109">
        <f>(D100+D103)/2</f>
        <v>38.415906765261383</v>
      </c>
      <c r="E106" s="123">
        <f>(E100+E103)/2</f>
        <v>45.195184429719276</v>
      </c>
      <c r="F106" s="109">
        <f>(F100+F103)/2</f>
        <v>45.195184429719276</v>
      </c>
      <c r="H106" s="123">
        <f>(H100+H103)/2</f>
        <v>45.195184429719276</v>
      </c>
      <c r="I106" s="123">
        <f>(I100+I103)/2</f>
        <v>60.177236303711382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