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1B785FB-F6E6-4AE0-9FFF-EB27DE14C63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3" i="4" s="1"/>
  <c r="E91" i="4"/>
  <c r="E93" i="4" s="1"/>
  <c r="D71" i="4"/>
  <c r="D69" i="4"/>
  <c r="D68" i="4"/>
  <c r="D67" i="4"/>
  <c r="C65" i="4"/>
  <c r="D62" i="4"/>
  <c r="D63" i="4" s="1"/>
  <c r="D61" i="4"/>
  <c r="D60" i="4"/>
  <c r="D59" i="4"/>
  <c r="D58" i="4"/>
  <c r="D55" i="4"/>
  <c r="D50" i="4"/>
  <c r="D56" i="4" s="1"/>
  <c r="D44" i="4"/>
  <c r="C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4" i="4"/>
  <c r="E92" i="4"/>
  <c r="F97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<sst xmlns="http://schemas.openxmlformats.org/spreadsheetml/2006/main" count="390" uniqueCount="267">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</sst>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9" sqref="E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2897780274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4.9212598425196846E-2</v>
      </c>
      <c r="D45" s="152">
        <f>IF(D44="","",D44*Exchange_Rate/Dashboard!$G$3)</f>
        <v>6.4960629921259838E-2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1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3743</v>
      </c>
      <c r="D72" s="248">
        <v>0</v>
      </c>
      <c r="E72" s="249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208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0016.HK</v>
      </c>
      <c r="D3" s="278"/>
      <c r="E3" s="87"/>
      <c r="F3" s="3" t="s">
        <v>1</v>
      </c>
      <c r="G3" s="132">
        <v>76.2</v>
      </c>
      <c r="H3" s="134" t="s">
        <v>266</v>
      </c>
    </row>
    <row r="4" spans="1:10" ht="15.75" customHeight="1" x14ac:dyDescent="0.4">
      <c r="B4" s="35" t="s">
        <v>196</v>
      </c>
      <c r="C4" s="279" t="str">
        <f>Inputs!C5</f>
        <v>新鴻基地產</v>
      </c>
      <c r="D4" s="280"/>
      <c r="E4" s="87"/>
      <c r="F4" s="3" t="s">
        <v>3</v>
      </c>
      <c r="G4" s="283">
        <f>Inputs!C10</f>
        <v>2897780274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45625</v>
      </c>
      <c r="D5" s="282"/>
      <c r="E5" s="34"/>
      <c r="F5" s="35" t="s">
        <v>100</v>
      </c>
      <c r="G5" s="275">
        <f>G3*G4/1000000</f>
        <v>220810.85687880003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0.54949235029228316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0.36135057444846835</v>
      </c>
    </row>
    <row r="24" spans="1:8" ht="15.75" customHeight="1" x14ac:dyDescent="0.4">
      <c r="B24" s="137" t="s">
        <v>171</v>
      </c>
      <c r="C24" s="171">
        <f>Fin_Analysis!I81</f>
        <v>5.6582664391799292E-2</v>
      </c>
      <c r="F24" s="140" t="s">
        <v>260</v>
      </c>
      <c r="G24" s="268">
        <f>G3/(Fin_Analysis!H86*G7)</f>
        <v>14.577653837936545</v>
      </c>
    </row>
    <row r="25" spans="1:8" ht="15.75" customHeight="1" x14ac:dyDescent="0.4">
      <c r="B25" s="137" t="s">
        <v>244</v>
      </c>
      <c r="C25" s="171">
        <f>Fin_Analysis!I82</f>
        <v>5.719799737085E-3</v>
      </c>
      <c r="F25" s="140" t="s">
        <v>175</v>
      </c>
      <c r="G25" s="171">
        <f>Fin_Analysis!I88</f>
        <v>0.71740422430790074</v>
      </c>
    </row>
    <row r="26" spans="1:8" ht="15.75" customHeight="1" x14ac:dyDescent="0.4">
      <c r="B26" s="138" t="s">
        <v>174</v>
      </c>
      <c r="C26" s="171">
        <f>Fin_Analysis!I83</f>
        <v>0.27690377095281005</v>
      </c>
      <c r="F26" s="141" t="s">
        <v>194</v>
      </c>
      <c r="G26" s="178">
        <f>Fin_Analysis!H88*Exchange_Rate/G3</f>
        <v>4.9212598425196846E-2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13.214731533770916</v>
      </c>
      <c r="D29" s="129">
        <f>G29*(1+G20)</f>
        <v>42.135531076928871</v>
      </c>
      <c r="E29" s="87"/>
      <c r="F29" s="131">
        <f>IF(Fin_Analysis!C108="Profit",Fin_Analysis!F100,IF(Fin_Analysis!C108="Dividend",Fin_Analysis!F103,Fin_Analysis!F106))</f>
        <v>15.833152111783313</v>
      </c>
      <c r="G29" s="274">
        <f>IF(Fin_Analysis!C108="Profit",Fin_Analysis!I100,IF(Fin_Analysis!C108="Dividend",Fin_Analysis!I103,Fin_Analysis!I106))</f>
        <v>36.639592240807715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0.23935054401029285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7.0203898973512716E-3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0.25305527237701292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0.15580099495425681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0.20434053388692244</v>
      </c>
      <c r="D55" s="153">
        <f t="shared" si="45"/>
        <v>0.13446497443458727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4.0099174353350966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127087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96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233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161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6.8598144195029756E-2</v>
      </c>
      <c r="D87" s="209"/>
      <c r="E87" s="262">
        <f>E86*Exchange_Rate/Dashboard!G3</f>
        <v>6.8598144195029756E-2</v>
      </c>
      <c r="F87" s="209"/>
      <c r="H87" s="262">
        <f>H86*Exchange_Rate/Dashboard!G3</f>
        <v>6.8598144195029756E-2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222</v>
      </c>
      <c r="C89" s="261">
        <f>C88*Exchange_Rate/Dashboard!G3</f>
        <v>4.9212598425196846E-2</v>
      </c>
      <c r="D89" s="209"/>
      <c r="E89" s="261">
        <f>E88*Exchange_Rate/Dashboard!G3</f>
        <v>4.9212598425196846E-2</v>
      </c>
      <c r="F89" s="209"/>
      <c r="H89" s="261">
        <f>H88*Exchange_Rate/Dashboard!G3</f>
        <v>4.9212598425196846E-2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110.35588061236305</v>
      </c>
      <c r="H93" s="87" t="s">
        <v>210</v>
      </c>
      <c r="I93" s="144">
        <f>FV(H87,D93,0,-(H86/(C93-D94)))*Exchange_Rate</f>
        <v>110.35588061236305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72.244504359767745</v>
      </c>
      <c r="H94" s="87" t="s">
        <v>211</v>
      </c>
      <c r="I94" s="144">
        <f>FV(H89,D93,0,-(H88/(C93-D94)))*Exchange_Rate</f>
        <v>72.244504359767745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158990.70336476713</v>
      </c>
      <c r="D97" s="213"/>
      <c r="E97" s="123">
        <f>PV(C94,D93,0,-F93)</f>
        <v>54.866376443822503</v>
      </c>
      <c r="F97" s="213"/>
      <c r="H97" s="123">
        <f>PV(C94,D93,0,-I93)</f>
        <v>54.866376443822503</v>
      </c>
      <c r="I97" s="123">
        <f>PV(C93,D93,0,-I93)</f>
        <v>73.054395994834508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3"/>
      <c r="E98" s="213"/>
      <c r="F98" s="213"/>
      <c r="H98" s="123">
        <f>C98*Data!$C$4/Common_Shares</f>
        <v>1.5025293805281801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53468.603364767128</v>
      </c>
      <c r="D100" s="109">
        <f>MIN(F100*(1-C94),E100)</f>
        <v>13.214731533770916</v>
      </c>
      <c r="E100" s="109">
        <f>MAX(E97-H98+E99,0)</f>
        <v>13.214731533770916</v>
      </c>
      <c r="F100" s="109">
        <f>(E100+H100)/2</f>
        <v>15.833152111783313</v>
      </c>
      <c r="H100" s="109">
        <f>MAX(C100*Data!$C$4/Common_Shares,0)</f>
        <v>18.451572689795711</v>
      </c>
      <c r="I100" s="109">
        <f>MAX(I97-H98+H99,0)</f>
        <v>36.639592240807715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104083.30302528231</v>
      </c>
      <c r="D103" s="109">
        <f>MIN(F103*(1-C94),E103)</f>
        <v>30.530543797707537</v>
      </c>
      <c r="E103" s="123">
        <f>PV(C94,D93,0,-F94)</f>
        <v>35.9182868208324</v>
      </c>
      <c r="F103" s="109">
        <f>(E103+H103)/2</f>
        <v>35.9182868208324</v>
      </c>
      <c r="H103" s="123">
        <f>PV(C94,D93,0,-I94)</f>
        <v>35.9182868208324</v>
      </c>
      <c r="I103" s="109">
        <f>PV(C93,D93,0,-I94)</f>
        <v>47.825078289101675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71188.34569502472</v>
      </c>
      <c r="D106" s="109">
        <f>(D100+D103)/2</f>
        <v>21.872637665739227</v>
      </c>
      <c r="E106" s="123">
        <f>(E100+E103)/2</f>
        <v>24.566509177301658</v>
      </c>
      <c r="F106" s="109">
        <f>(F100+F103)/2</f>
        <v>25.875719466307856</v>
      </c>
      <c r="H106" s="123">
        <f>(H100+H103)/2</f>
        <v>27.184929755314055</v>
      </c>
      <c r="I106" s="123">
        <f>(I100+I103)/2</f>
        <v>42.232335264954699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