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2BA841E-DE5B-40D7-A5A9-5CD5ACC0BD7F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E95" i="4" l="1"/>
  <c r="F96" i="4"/>
  <c r="E92" i="4"/>
  <c r="F97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<sst xmlns="http://schemas.openxmlformats.org/spreadsheetml/2006/main" count="390" uniqueCount="269">
  <si>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</si>
  <si>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</si>
  <si>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</si>
  <si>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</si>
  <si>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</si>
  <si>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</si>
  <si>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</si>
  <si>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</si>
  <si>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</si>
  <si>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</si>
  <si>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</si>
  <si>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</si>
  <si>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</si>
  <si>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</si>
  <si>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</si>
  <si>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</si>
  <si>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</si>
  <si>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</si>
  <si>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</si>
  <si>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</si>
  <si>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</si>
  <si>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</si>
  <si>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</si>
  <si>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</si>
  <si>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</si>
  <si>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</si>
  <si>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</si>
  <si>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</si>
  <si>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</si>
  <si>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</si>
  <si>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</si>
  <si>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</si>
  <si>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</si>
  <si>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</si>
  <si>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</si>
  <si>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</si>
  <si>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</si>
  <si>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</si>
  <si>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</si>
  <si>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</si>
  <si>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</si>
  <si>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</si>
  <si>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</si>
  <si>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</si>
  <si>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</si>
  <si>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</si>
  <si>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</si>
  <si>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</si>
  <si>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</si>
  <si>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</si>
  <si>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</si>
  <si>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</si>
  <si>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</si>
  <si>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</si>
  <si>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</si>
  <si>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</si>
  <si>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</si>
  <si>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</si>
  <si>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</si>
  <si>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</si>
  <si>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</si>
  <si>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</si>
  <si>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</si>
  <si>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</si>
  <si>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</si>
  <si>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</si>
  <si>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</si>
  <si>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</si>
  <si>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</si>
  <si>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</si>
  <si>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</si>
  <si>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</si>
  <si>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</si>
  <si>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</si>
  <si>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</si>
  <si>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</si>
  <si>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</si>
  <si>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</si>
  <si>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</si>
  <si>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</si>
  <si>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</si>
  <si>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</si>
  <si>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</si>
  <si>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</si>
  <si>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</si>
  <si>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</si>
  <si>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</si>
  <si>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</si>
  <si>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</si>
  <si>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</si>
  <si>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</si>
  <si>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</si>
  <si>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</si>
  <si>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</si>
  <si>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</si>
  <si>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</si>
  <si>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</si>
  <si>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</si>
  <si>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</si>
  <si>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</si>
  <si>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</si>
  <si>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</si>
  <si>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</si>
  <si>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</si>
  <si>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</si>
  <si>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</si>
  <si>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</si>
  <si>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</si>
  <si>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</si>
  <si>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</si>
  <si>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</si>
  <si>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</si>
  <si>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</si>
  <si>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</si>
  <si>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</si>
  <si>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</si>
  <si>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</si>
  <si>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</si>
  <si>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</si>
  <si>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</si>
  <si>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</si>
  <si>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</si>
  <si>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</si>
  <si>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</si>
  <si>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</si>
  <si>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</si>
  <si>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</si>
  <si>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</si>
  <si>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</si>
  <si>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</si>
  <si>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</si>
  <si>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</si>
  <si>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</si>
  <si>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</si>
  <si>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</si>
  <si>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</si>
  <si>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</si>
  <si>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</si>
  <si>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</si>
  <si>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</si>
  <si>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</si>
  <si>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</si>
  <si>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</si>
  <si>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</si>
  <si>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</si>
  <si>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</si>
  <si>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</si>
  <si>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</si>
  <si>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</si>
  <si>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</si>
  <si>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</si>
  <si>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</si>
  <si>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</si>
  <si>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</si>
  <si>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</si>
  <si>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</si>
  <si>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</si>
  <si>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</si>
  <si>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</si>
  <si>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</si>
  <si>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</si>
  <si>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</si>
  <si>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</si>
  <si>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</si>
  <si>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</si>
  <si>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</si>
  <si>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</si>
  <si>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</si>
  <si>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</si>
  <si>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</si>
  <si>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</si>
  <si>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</si>
  <si>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</si>
  <si>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</si>
  <si>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</si>
  <si>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</si>
  <si>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</si>
  <si>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</si>
  <si>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</si>
  <si>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</si>
  <si>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</si>
  <si>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</si>
  <si>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</si>
  <si>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</si>
  <si>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</si>
  <si>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</si>
  <si>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</si>
  <si>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</si>
  <si>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</si>
  <si>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</si>
  <si>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</si>
  <si>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</si>
  <si>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</si>
  <si>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</si>
  <si>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</si>
  <si>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</si>
  <si>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</si>
  <si>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</si>
  <si>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</si>
  <si>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</si>
  <si>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</si>
  <si>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</si>
  <si>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</si>
  <si>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</si>
  <si>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</si>
  <si>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</si>
  <si>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</si>
  <si>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</si>
  <si>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</si>
  <si>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</si>
  <si>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</si>
  <si>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</si>
  <si>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</si>
  <si>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</si>
  <si>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</si>
  <si>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</si>
  <si>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</si>
  <si>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</si>
  <si>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</si>
  <si>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</si>
  <si>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</si>
  <si>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</si>
  <si>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</si>
  <si>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</si>
  <si>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</si>
  <si>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</si>
  <si>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</si>
  <si>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</si>
  <si>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</si>
  <si>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</si>
  <si>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</si>
  <si>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</si>
  <si>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</si>
  <si>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</si>
  <si>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</si>
  <si>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</si>
  <si>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</si>
  <si>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</si>
  <si>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</si>
  <si>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</si>
  <si>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</si>
  <si>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</si>
  <si>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</si>
  <si>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</si>
  <si>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</si>
  <si>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</si>
  <si>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</si>
  <si>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</si>
  <si>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</si>
  <si>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</si>
  <si>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</si>
  <si>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</si>
  <si>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</si>
  <si>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</si>
  <si>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</si>
  <si>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</si>
  <si>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</si>
  <si>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</si>
  <si>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</si>
  <si>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</si>
  <si>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</si>
  <si>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0116.HK</t>
  </si>
  <si>
    <t>周生生</t>
  </si>
  <si>
    <t xml:space="preserve">Superior Cycl. 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</si>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</sst>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0.73600077942413045</c:v>
                </c:pt>
                <c:pt idx="1">
                  <c:v>0.20890317762054877</c:v>
                </c:pt>
                <c:pt idx="2">
                  <c:v>0</c:v>
                </c:pt>
                <c:pt idx="3">
                  <c:v>0</c:v>
                </c:pt>
                <c:pt idx="4">
                  <c:v>5.1931891220120593E-3</c:v>
                </c:pt>
                <c:pt idx="5">
                  <c:v>0</c:v>
                </c:pt>
                <c:pt idx="6">
                  <c:v>4.9902853833308697E-2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86" sqref="E86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261</v>
      </c>
    </row>
    <row r="5" spans="1:5" ht="13.9" x14ac:dyDescent="0.4">
      <c r="B5" s="141" t="s">
        <v>196</v>
      </c>
      <c r="C5" s="191" t="s">
        <v>262</v>
      </c>
    </row>
    <row r="6" spans="1:5" ht="13.9" x14ac:dyDescent="0.4">
      <c r="B6" s="141" t="s">
        <v>164</v>
      </c>
      <c r="C6" s="189">
        <v>45593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263</v>
      </c>
      <c r="E8" s="267"/>
    </row>
    <row r="9" spans="1:5" ht="13.9" x14ac:dyDescent="0.4">
      <c r="B9" s="140" t="s">
        <v>217</v>
      </c>
      <c r="C9" s="192" t="s">
        <v>244</v>
      </c>
    </row>
    <row r="10" spans="1:5" ht="13.9" x14ac:dyDescent="0.4">
      <c r="B10" s="140" t="s">
        <v>218</v>
      </c>
      <c r="C10" s="193">
        <v>677426000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45291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220</v>
      </c>
      <c r="C14" s="219">
        <v>45473</v>
      </c>
    </row>
    <row r="15" spans="1:5" ht="13.9" x14ac:dyDescent="0.4">
      <c r="B15" s="218" t="s">
        <v>257</v>
      </c>
      <c r="C15" s="176" t="s">
        <v>190</v>
      </c>
    </row>
    <row r="16" spans="1:5" ht="13.9" x14ac:dyDescent="0.4">
      <c r="B16" s="222" t="s">
        <v>97</v>
      </c>
      <c r="C16" s="223">
        <v>0.25</v>
      </c>
      <c r="D16" s="24"/>
    </row>
    <row r="17" spans="2:13" ht="13.9" x14ac:dyDescent="0.4">
      <c r="B17" s="240" t="s">
        <v>225</v>
      </c>
      <c r="C17" s="242" t="s">
        <v>264</v>
      </c>
      <c r="D17" s="24"/>
    </row>
    <row r="18" spans="2:13" ht="13.9" x14ac:dyDescent="0.4">
      <c r="B18" s="240" t="s">
        <v>239</v>
      </c>
      <c r="C18" s="242" t="s">
        <v>247</v>
      </c>
      <c r="D18" s="24"/>
    </row>
    <row r="19" spans="2:13" ht="13.9" x14ac:dyDescent="0.4">
      <c r="B19" s="240" t="s">
        <v>240</v>
      </c>
      <c r="C19" s="242" t="s">
        <v>265</v>
      </c>
      <c r="D19" s="24"/>
    </row>
    <row r="20" spans="2:13" ht="13.9" x14ac:dyDescent="0.4">
      <c r="B20" s="241" t="s">
        <v>229</v>
      </c>
      <c r="C20" s="242" t="s">
        <v>265</v>
      </c>
      <c r="D20" s="24"/>
    </row>
    <row r="21" spans="2:13" ht="13.9" x14ac:dyDescent="0.4">
      <c r="B21" s="224" t="s">
        <v>232</v>
      </c>
      <c r="C21" s="242" t="s">
        <v>264</v>
      </c>
      <c r="D21" s="24"/>
    </row>
    <row r="22" spans="2:13" ht="78.75" x14ac:dyDescent="0.4">
      <c r="B22" s="226" t="s">
        <v>231</v>
      </c>
      <c r="C22" s="243" t="s">
        <v>266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9">
        <v>25013339</v>
      </c>
      <c r="D25" s="149">
        <v>19751940</v>
      </c>
      <c r="E25" s="149">
        <v>21987559</v>
      </c>
      <c r="F25" s="149">
        <v>14997541</v>
      </c>
      <c r="G25" s="149">
        <v>17736226</v>
      </c>
      <c r="H25" s="149">
        <v>18806342</v>
      </c>
      <c r="I25" s="149"/>
      <c r="J25" s="149"/>
      <c r="K25" s="149"/>
      <c r="L25" s="149"/>
      <c r="M25" s="149"/>
    </row>
    <row r="26" spans="2:13" ht="13.9" x14ac:dyDescent="0.4">
      <c r="B26" s="97" t="s">
        <v>106</v>
      </c>
      <c r="C26" s="150">
        <v>18409837</v>
      </c>
      <c r="D26" s="150">
        <v>15140010</v>
      </c>
      <c r="E26" s="150">
        <v>16431474</v>
      </c>
      <c r="F26" s="150">
        <v>10877614</v>
      </c>
      <c r="G26" s="150">
        <v>12958750</v>
      </c>
      <c r="H26" s="150">
        <v>14175208</v>
      </c>
      <c r="I26" s="150"/>
      <c r="J26" s="150"/>
      <c r="K26" s="150"/>
      <c r="L26" s="150"/>
      <c r="M26" s="150"/>
    </row>
    <row r="27" spans="2:13" ht="13.9" x14ac:dyDescent="0.4">
      <c r="B27" s="97" t="s">
        <v>104</v>
      </c>
      <c r="C27" s="150">
        <v>5225366</v>
      </c>
      <c r="D27" s="150">
        <v>4709830</v>
      </c>
      <c r="E27" s="150">
        <v>4571128</v>
      </c>
      <c r="F27" s="150">
        <v>3136777</v>
      </c>
      <c r="G27" s="150">
        <v>3470831</v>
      </c>
      <c r="H27" s="150">
        <v>3388718</v>
      </c>
      <c r="I27" s="150"/>
      <c r="J27" s="150"/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258</v>
      </c>
      <c r="C29" s="150">
        <v>129899</v>
      </c>
      <c r="D29" s="150">
        <v>81860</v>
      </c>
      <c r="E29" s="150">
        <v>60486</v>
      </c>
      <c r="F29" s="150">
        <v>76137</v>
      </c>
      <c r="G29" s="150">
        <v>89162</v>
      </c>
      <c r="H29" s="150">
        <v>36991</v>
      </c>
      <c r="I29" s="150"/>
      <c r="J29" s="150"/>
      <c r="K29" s="150"/>
      <c r="L29" s="150"/>
      <c r="M29" s="150"/>
    </row>
    <row r="30" spans="2:13" ht="13.9" x14ac:dyDescent="0.4">
      <c r="B30" s="99" t="s">
        <v>111</v>
      </c>
      <c r="C30" s="150">
        <v>-13497</v>
      </c>
      <c r="D30" s="150">
        <v>-10604</v>
      </c>
      <c r="E30" s="150">
        <v>-3488</v>
      </c>
      <c r="F30" s="150">
        <v>0</v>
      </c>
      <c r="G30" s="150">
        <v>0</v>
      </c>
      <c r="H30" s="150">
        <v>0</v>
      </c>
      <c r="I30" s="150"/>
      <c r="J30" s="150"/>
      <c r="K30" s="150"/>
      <c r="L30" s="150"/>
      <c r="M30" s="150"/>
    </row>
    <row r="31" spans="2:13" ht="13.9" x14ac:dyDescent="0.4">
      <c r="B31" s="97" t="s">
        <v>110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f>0.15+0.4</f>
        <v>0.55000000000000004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254</v>
      </c>
      <c r="C45" s="152">
        <f>IF(C44="","",C44*Exchange_Rate/Dashboard!$G$3)</f>
        <v>8.4097859327217125E-2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251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1" t="s">
        <v>71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1" t="s">
        <v>71</v>
      </c>
    </row>
    <row r="66" spans="2:5" ht="13.9" x14ac:dyDescent="0.4">
      <c r="B66" s="3" t="s">
        <v>72</v>
      </c>
      <c r="C66" s="59"/>
      <c r="D66" s="60">
        <v>0.2</v>
      </c>
      <c r="E66" s="221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6" t="s">
        <v>76</v>
      </c>
      <c r="C72" s="247"/>
      <c r="D72" s="248">
        <v>0</v>
      </c>
      <c r="E72" s="249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252</v>
      </c>
      <c r="C86" s="197">
        <v>5</v>
      </c>
    </row>
    <row r="87" spans="2:8" ht="13.9" x14ac:dyDescent="0.4">
      <c r="B87" s="10" t="s">
        <v>250</v>
      </c>
      <c r="C87" s="236" t="s">
        <v>267</v>
      </c>
      <c r="D87" s="269">
        <v>0.02</v>
      </c>
    </row>
    <row r="89" spans="2:8" ht="13.5" x14ac:dyDescent="0.35">
      <c r="B89" s="106" t="s">
        <v>128</v>
      </c>
      <c r="C89" s="271">
        <f>C24</f>
        <v>45291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25013339</v>
      </c>
      <c r="D91" s="209"/>
      <c r="E91" s="251">
        <f>C91*0.7</f>
        <v>17509337.300000001</v>
      </c>
      <c r="F91" s="251">
        <f>C91*0.8</f>
        <v>20010671.199999999</v>
      </c>
    </row>
    <row r="92" spans="2:8" ht="13.9" x14ac:dyDescent="0.4">
      <c r="B92" s="104" t="s">
        <v>106</v>
      </c>
      <c r="C92" s="77">
        <f>C26</f>
        <v>18409837</v>
      </c>
      <c r="D92" s="159">
        <f>C92/C91</f>
        <v>0.73600077942413045</v>
      </c>
      <c r="E92" s="252">
        <f>E91*D92</f>
        <v>12886885.9</v>
      </c>
      <c r="F92" s="252">
        <f>F91*D92</f>
        <v>14727869.6</v>
      </c>
    </row>
    <row r="93" spans="2:8" ht="13.9" x14ac:dyDescent="0.4">
      <c r="B93" s="104" t="s">
        <v>249</v>
      </c>
      <c r="C93" s="77">
        <f>C27+C28</f>
        <v>5225366</v>
      </c>
      <c r="D93" s="159">
        <f>C93/C91</f>
        <v>0.20890317762054877</v>
      </c>
      <c r="E93" s="252">
        <f>E91*D93</f>
        <v>3657756.2</v>
      </c>
      <c r="F93" s="252">
        <f>F91*D93</f>
        <v>4180292.8</v>
      </c>
    </row>
    <row r="94" spans="2:8" ht="13.9" x14ac:dyDescent="0.4">
      <c r="B94" s="104" t="s">
        <v>258</v>
      </c>
      <c r="C94" s="77">
        <f>C29</f>
        <v>129899</v>
      </c>
      <c r="D94" s="159">
        <f>C94/C91</f>
        <v>5.1931891220120593E-3</v>
      </c>
      <c r="E94" s="253"/>
      <c r="F94" s="252">
        <f>F91*D94</f>
        <v>103919.2</v>
      </c>
    </row>
    <row r="95" spans="2:8" ht="13.9" x14ac:dyDescent="0.4">
      <c r="B95" s="28" t="s">
        <v>248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173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208</v>
      </c>
      <c r="C98" s="237">
        <f>C44</f>
        <v>0.55000000000000004</v>
      </c>
      <c r="D98" s="266"/>
      <c r="E98" s="254">
        <f>F98*0.8</f>
        <v>0.44000000000000006</v>
      </c>
      <c r="F98" s="254">
        <f>C98</f>
        <v>0.55000000000000004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0116.HK : 周生生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0116.HK</v>
      </c>
      <c r="D3" s="278"/>
      <c r="E3" s="87"/>
      <c r="F3" s="3" t="s">
        <v>1</v>
      </c>
      <c r="G3" s="132">
        <v>6.54</v>
      </c>
      <c r="H3" s="134" t="s">
        <v>268</v>
      </c>
    </row>
    <row r="4" spans="1:10" ht="15.75" customHeight="1" x14ac:dyDescent="0.4">
      <c r="B4" s="35" t="s">
        <v>196</v>
      </c>
      <c r="C4" s="279" t="str">
        <f>Inputs!C5</f>
        <v>周生生</v>
      </c>
      <c r="D4" s="280"/>
      <c r="E4" s="87"/>
      <c r="F4" s="3" t="s">
        <v>3</v>
      </c>
      <c r="G4" s="283">
        <f>Inputs!C10</f>
        <v>677426000</v>
      </c>
      <c r="H4" s="283"/>
      <c r="I4" s="39"/>
    </row>
    <row r="5" spans="1:10" ht="15.75" customHeight="1" x14ac:dyDescent="0.4">
      <c r="B5" s="3" t="s">
        <v>164</v>
      </c>
      <c r="C5" s="281">
        <f>Inputs!C6</f>
        <v>45593</v>
      </c>
      <c r="D5" s="282"/>
      <c r="E5" s="34"/>
      <c r="F5" s="35" t="s">
        <v>100</v>
      </c>
      <c r="G5" s="275">
        <f>G3*G4/1000000</f>
        <v>4430.3660399999999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 xml:space="preserve">Superior Cycl. </v>
      </c>
      <c r="D7" s="187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4">
        <v>0.08</v>
      </c>
      <c r="D12" s="172">
        <v>8.5999999999999993E-2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HK</v>
      </c>
      <c r="F16" s="110" t="s">
        <v>179</v>
      </c>
    </row>
    <row r="17" spans="1:8" ht="15.75" customHeight="1" thickTop="1" x14ac:dyDescent="0.4">
      <c r="B17" s="87" t="s">
        <v>256</v>
      </c>
      <c r="C17" s="175">
        <v>9.1999999999999998E-2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0.73600077942413045</v>
      </c>
      <c r="F20" s="87" t="s">
        <v>212</v>
      </c>
      <c r="G20" s="172">
        <v>0.15</v>
      </c>
    </row>
    <row r="21" spans="1:8" ht="15.75" customHeight="1" x14ac:dyDescent="0.4">
      <c r="B21" s="137" t="s">
        <v>246</v>
      </c>
      <c r="C21" s="171">
        <f>Fin_Analysis!I77</f>
        <v>0.20890317762054877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0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0</v>
      </c>
      <c r="F23" s="140" t="s">
        <v>189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1">
        <f>Fin_Analysis!I81</f>
        <v>5.1931891220120593E-3</v>
      </c>
      <c r="F24" s="140" t="s">
        <v>260</v>
      </c>
      <c r="G24" s="268">
        <f>G3/(Fin_Analysis!H86*G7)</f>
        <v>5.9154979382921669</v>
      </c>
    </row>
    <row r="25" spans="1:8" ht="15.75" customHeight="1" x14ac:dyDescent="0.4">
      <c r="B25" s="137" t="s">
        <v>245</v>
      </c>
      <c r="C25" s="171">
        <f>Fin_Analysis!I82</f>
        <v>0</v>
      </c>
      <c r="F25" s="140" t="s">
        <v>175</v>
      </c>
      <c r="G25" s="171">
        <f>Fin_Analysis!I88</f>
        <v>0.49748071346493766</v>
      </c>
    </row>
    <row r="26" spans="1:8" ht="15.75" customHeight="1" x14ac:dyDescent="0.4">
      <c r="B26" s="138" t="s">
        <v>174</v>
      </c>
      <c r="C26" s="171">
        <f>Fin_Analysis!I83</f>
        <v>4.9902853833308697E-2</v>
      </c>
      <c r="F26" s="141" t="s">
        <v>194</v>
      </c>
      <c r="G26" s="178">
        <f>Fin_Analysis!H88*Exchange_Rate/G3</f>
        <v>8.4097859327217125E-2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259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4.5874297506021087</v>
      </c>
      <c r="D29" s="129">
        <f>G29*(1+G20)</f>
        <v>9.4997002586832355</v>
      </c>
      <c r="E29" s="87"/>
      <c r="F29" s="131">
        <f>IF(Fin_Analysis!C108="Profit",Fin_Analysis!F100,IF(Fin_Analysis!C108="Dividend",Fin_Analysis!F103,Fin_Analysis!F106))</f>
        <v>5.3969761771789519</v>
      </c>
      <c r="G29" s="274">
        <f>IF(Fin_Analysis!C108="Profit",Fin_Analysis!I100,IF(Fin_Analysis!C108="Dividend",Fin_Analysis!I103,Fin_Analysis!I106))</f>
        <v>8.2606089205941178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Strongly agree</v>
      </c>
    </row>
    <row r="34" spans="1:3" ht="15.75" customHeight="1" x14ac:dyDescent="0.4">
      <c r="A34"/>
      <c r="B34" s="19" t="s">
        <v>226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unclear</v>
      </c>
    </row>
    <row r="37" spans="1:3" ht="15.75" customHeight="1" x14ac:dyDescent="0.4">
      <c r="A37"/>
      <c r="B37" s="20" t="s">
        <v>240</v>
      </c>
      <c r="C37" s="245" t="str">
        <f>Inputs!C19</f>
        <v>agree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agree</v>
      </c>
    </row>
    <row r="40" spans="1:3" ht="15.75" customHeight="1" x14ac:dyDescent="0.4">
      <c r="A40"/>
      <c r="B40" s="1" t="s">
        <v>232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45291</v>
      </c>
      <c r="E3" s="146" t="s">
        <v>201</v>
      </c>
      <c r="F3" s="85">
        <f>H14</f>
        <v>1242416</v>
      </c>
      <c r="G3" s="85">
        <f>C14</f>
        <v>1378136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202</v>
      </c>
      <c r="F4" s="93">
        <f>(G3/F3)^(1/H3)-1</f>
        <v>1.7429143835659966E-2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0">
        <f>IF(Inputs!C25=""," ",Inputs!C25)</f>
        <v>25013339</v>
      </c>
      <c r="D6" s="200">
        <f>IF(Inputs!D25="","",Inputs!D25)</f>
        <v>19751940</v>
      </c>
      <c r="E6" s="200">
        <f>IF(Inputs!E25="","",Inputs!E25)</f>
        <v>21987559</v>
      </c>
      <c r="F6" s="200">
        <f>IF(Inputs!F25="","",Inputs!F25)</f>
        <v>14997541</v>
      </c>
      <c r="G6" s="200">
        <f>IF(Inputs!G25="","",Inputs!G25)</f>
        <v>17736226</v>
      </c>
      <c r="H6" s="200">
        <f>IF(Inputs!H25="","",Inputs!H25)</f>
        <v>18806342</v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0.26637378404349144</v>
      </c>
      <c r="D7" s="92">
        <f t="shared" si="1"/>
        <v>-0.10167654353991729</v>
      </c>
      <c r="E7" s="92">
        <f t="shared" si="1"/>
        <v>0.46607760565548717</v>
      </c>
      <c r="F7" s="92">
        <f t="shared" si="1"/>
        <v>-0.15441193633865513</v>
      </c>
      <c r="G7" s="92">
        <f t="shared" si="1"/>
        <v>-5.690186852924406E-2</v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18409837</v>
      </c>
      <c r="D8" s="199">
        <f>IF(Inputs!D26="","",Inputs!D26)</f>
        <v>15140010</v>
      </c>
      <c r="E8" s="199">
        <f>IF(Inputs!E26="","",Inputs!E26)</f>
        <v>16431474</v>
      </c>
      <c r="F8" s="199">
        <f>IF(Inputs!F26="","",Inputs!F26)</f>
        <v>10877614</v>
      </c>
      <c r="G8" s="199">
        <f>IF(Inputs!G26="","",Inputs!G26)</f>
        <v>12958750</v>
      </c>
      <c r="H8" s="199">
        <f>IF(Inputs!H26="","",Inputs!H26)</f>
        <v>14175208</v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6603502</v>
      </c>
      <c r="D9" s="151">
        <f t="shared" si="2"/>
        <v>4611930</v>
      </c>
      <c r="E9" s="151">
        <f t="shared" si="2"/>
        <v>5556085</v>
      </c>
      <c r="F9" s="151">
        <f t="shared" si="2"/>
        <v>4119927</v>
      </c>
      <c r="G9" s="151">
        <f t="shared" si="2"/>
        <v>4777476</v>
      </c>
      <c r="H9" s="151">
        <f t="shared" si="2"/>
        <v>4631134</v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5225366</v>
      </c>
      <c r="D10" s="199">
        <f>IF(Inputs!D27="","",Inputs!D27)</f>
        <v>4709830</v>
      </c>
      <c r="E10" s="199">
        <f>IF(Inputs!E27="","",Inputs!E27)</f>
        <v>4571128</v>
      </c>
      <c r="F10" s="199">
        <f>IF(Inputs!F27="","",Inputs!F27)</f>
        <v>3136777</v>
      </c>
      <c r="G10" s="199">
        <f>IF(Inputs!G27="","",Inputs!G27)</f>
        <v>3470831</v>
      </c>
      <c r="H10" s="199">
        <f>IF(Inputs!H27="","",Inputs!H27)</f>
        <v>3388718</v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>
        <f>IF(Inputs!C30="","",MAX(Inputs!C30,0)/(1-Fin_Analysis!$I$84))</f>
        <v>0</v>
      </c>
      <c r="D12" s="199">
        <f>IF(Inputs!D30="","",MAX(Inputs!D30,0)/(1-Fin_Analysis!$I$84))</f>
        <v>0</v>
      </c>
      <c r="E12" s="199">
        <f>IF(Inputs!E30="","",MAX(Inputs!E30,0)/(1-Fin_Analysis!$I$84))</f>
        <v>0</v>
      </c>
      <c r="F12" s="199">
        <f>IF(Inputs!F30="","",MAX(Inputs!F30,0)/(1-Fin_Analysis!$I$84))</f>
        <v>0</v>
      </c>
      <c r="G12" s="199">
        <f>IF(Inputs!G30="","",MAX(Inputs!G30,0)/(1-Fin_Analysis!$I$84))</f>
        <v>0</v>
      </c>
      <c r="H12" s="199">
        <f>IF(Inputs!H30="","",MAX(Inputs!H30,0)/(1-Fin_Analysis!$I$84))</f>
        <v>0</v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5.5096042955320758E-2</v>
      </c>
      <c r="D13" s="229">
        <f t="shared" si="3"/>
        <v>-4.9564751614271816E-3</v>
      </c>
      <c r="E13" s="229">
        <f t="shared" si="3"/>
        <v>4.4796104924607595E-2</v>
      </c>
      <c r="F13" s="229">
        <f t="shared" si="3"/>
        <v>6.5554079832153819E-2</v>
      </c>
      <c r="G13" s="229">
        <f t="shared" si="3"/>
        <v>7.3670971490778253E-2</v>
      </c>
      <c r="H13" s="229">
        <f t="shared" si="3"/>
        <v>6.6063671499752577E-2</v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1378136</v>
      </c>
      <c r="D14" s="230">
        <f t="shared" ref="D14:M14" si="4">IF(D6="","",D9-D10-MAX(D11,0)-MAX(D12,0))</f>
        <v>-97900</v>
      </c>
      <c r="E14" s="230">
        <f t="shared" si="4"/>
        <v>984957</v>
      </c>
      <c r="F14" s="230">
        <f t="shared" si="4"/>
        <v>983150</v>
      </c>
      <c r="G14" s="230">
        <f t="shared" si="4"/>
        <v>1306645</v>
      </c>
      <c r="H14" s="230">
        <f t="shared" si="4"/>
        <v>1242416</v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 t="str">
        <f>IF(D14="","",IF(ABS(C14+D14)=ABS(C14)+ABS(D14),IF(C14&lt;0,-1,1)*(C14-D14)/D14,"Turn"))</f>
        <v>Turn</v>
      </c>
      <c r="D15" s="232" t="str">
        <f t="shared" ref="D15:M15" si="5">IF(E14="","",IF(ABS(D14+E14)=ABS(D14)+ABS(E14),IF(D14&lt;0,-1,1)*(D14-E14)/E14,"Turn"))</f>
        <v>Turn</v>
      </c>
      <c r="E15" s="232">
        <f t="shared" si="5"/>
        <v>1.8379697909779789E-3</v>
      </c>
      <c r="F15" s="232">
        <f t="shared" si="5"/>
        <v>-0.24757680930933804</v>
      </c>
      <c r="G15" s="232">
        <f t="shared" si="5"/>
        <v>5.1696855159624473E-2</v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199">
        <f>IF(Inputs!C29="","",Inputs!C29)</f>
        <v>129899</v>
      </c>
      <c r="D17" s="199">
        <f>IF(Inputs!D29="","",Inputs!D29)</f>
        <v>81860</v>
      </c>
      <c r="E17" s="199">
        <f>IF(Inputs!E29="","",Inputs!E29)</f>
        <v>60486</v>
      </c>
      <c r="F17" s="199">
        <f>IF(Inputs!F29="","",Inputs!F29)</f>
        <v>76137</v>
      </c>
      <c r="G17" s="199">
        <f>IF(Inputs!G29="","",Inputs!G29)</f>
        <v>89162</v>
      </c>
      <c r="H17" s="199">
        <f>IF(Inputs!H29="","",Inputs!H29)</f>
        <v>36991</v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>
        <f t="shared" si="7"/>
        <v>0</v>
      </c>
      <c r="G20" s="152">
        <f t="shared" si="7"/>
        <v>0</v>
      </c>
      <c r="H20" s="152">
        <f t="shared" si="7"/>
        <v>0</v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1248237</v>
      </c>
      <c r="D22" s="161">
        <f t="shared" ref="D22:M22" si="8">IF(D6="","",D14-MAX(D16,0)-MAX(D17,0)-ABS(MAX(D21,0)-MAX(D19,0)))</f>
        <v>-179760</v>
      </c>
      <c r="E22" s="161">
        <f t="shared" si="8"/>
        <v>924471</v>
      </c>
      <c r="F22" s="161">
        <f t="shared" si="8"/>
        <v>907013</v>
      </c>
      <c r="G22" s="161">
        <f t="shared" si="8"/>
        <v>1217483</v>
      </c>
      <c r="H22" s="161">
        <f t="shared" si="8"/>
        <v>1205425</v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3.7427140374981523E-2</v>
      </c>
      <c r="D23" s="153">
        <f t="shared" si="9"/>
        <v>-6.8256586441635602E-3</v>
      </c>
      <c r="E23" s="153">
        <f t="shared" si="9"/>
        <v>3.1533889232542821E-2</v>
      </c>
      <c r="F23" s="153">
        <f t="shared" si="9"/>
        <v>4.5358085702182777E-2</v>
      </c>
      <c r="G23" s="153">
        <f t="shared" si="9"/>
        <v>5.1482894388016932E-2</v>
      </c>
      <c r="H23" s="153">
        <f t="shared" si="9"/>
        <v>4.8072546484584824E-2</v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936177.75</v>
      </c>
      <c r="D24" s="77">
        <f>IF(D6="","",D22*(1-Fin_Analysis!$I$84))</f>
        <v>-134820</v>
      </c>
      <c r="E24" s="77">
        <f>IF(E6="","",E22*(1-Fin_Analysis!$I$84))</f>
        <v>693353.25</v>
      </c>
      <c r="F24" s="77">
        <f>IF(F6="","",F22*(1-Fin_Analysis!$I$84))</f>
        <v>680259.75</v>
      </c>
      <c r="G24" s="77">
        <f>IF(G6="","",G22*(1-Fin_Analysis!$I$84))</f>
        <v>913112.25</v>
      </c>
      <c r="H24" s="77">
        <f>IF(H6="","",H22*(1-Fin_Analysis!$I$84))</f>
        <v>904068.75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 t="str">
        <f>IF(D24="","",IF(ABS(C24+D24)=ABS(C24)+ABS(D24),IF(C24&lt;0,-1,1)*(C24-D24)/D24,"Turn"))</f>
        <v>Turn</v>
      </c>
      <c r="D25" s="233" t="str">
        <f t="shared" ref="D25:M25" si="10">IF(E24="","",IF(ABS(D24+E24)=ABS(D24)+ABS(E24),IF(D24&lt;0,-1,1)*(D24-E24)/E24,"Turn"))</f>
        <v>Turn</v>
      </c>
      <c r="E25" s="233">
        <f t="shared" si="10"/>
        <v>1.9247794684309927E-2</v>
      </c>
      <c r="F25" s="233">
        <f t="shared" si="10"/>
        <v>-0.25500972087495266</v>
      </c>
      <c r="G25" s="233">
        <f t="shared" si="10"/>
        <v>1.0003110935976937E-2</v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0.73600077942413045</v>
      </c>
      <c r="D42" s="156">
        <f t="shared" si="34"/>
        <v>0.76650749242859184</v>
      </c>
      <c r="E42" s="156">
        <f t="shared" si="34"/>
        <v>0.74730778437024314</v>
      </c>
      <c r="F42" s="156">
        <f t="shared" si="34"/>
        <v>0.72529316639307739</v>
      </c>
      <c r="G42" s="156">
        <f t="shared" si="34"/>
        <v>0.73063739715540388</v>
      </c>
      <c r="H42" s="156">
        <f t="shared" si="34"/>
        <v>0.75374615648274401</v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0.20890317762054877</v>
      </c>
      <c r="D43" s="153">
        <f t="shared" si="35"/>
        <v>0.23844898273283535</v>
      </c>
      <c r="E43" s="153">
        <f t="shared" si="35"/>
        <v>0.20789611070514921</v>
      </c>
      <c r="F43" s="153">
        <f t="shared" si="35"/>
        <v>0.2091527537747688</v>
      </c>
      <c r="G43" s="153">
        <f t="shared" si="35"/>
        <v>0.1956916313538179</v>
      </c>
      <c r="H43" s="153">
        <f t="shared" si="35"/>
        <v>0.18019017201750345</v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>
        <f t="shared" si="36"/>
        <v>0</v>
      </c>
      <c r="H44" s="153">
        <f t="shared" si="36"/>
        <v>0</v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5.1931891220120593E-3</v>
      </c>
      <c r="D45" s="153">
        <f t="shared" si="37"/>
        <v>4.1444030307908998E-3</v>
      </c>
      <c r="E45" s="153">
        <f t="shared" si="37"/>
        <v>2.7509192812171647E-3</v>
      </c>
      <c r="F45" s="153">
        <f t="shared" si="37"/>
        <v>5.0766322292434473E-3</v>
      </c>
      <c r="G45" s="153">
        <f t="shared" si="37"/>
        <v>5.0271123067556758E-3</v>
      </c>
      <c r="H45" s="153">
        <f t="shared" si="37"/>
        <v>1.9669428536394796E-3</v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0</v>
      </c>
      <c r="D46" s="153">
        <f t="shared" ref="D46:M46" si="38">IF(D6="","",MAX(D12,0)/D6)</f>
        <v>0</v>
      </c>
      <c r="E46" s="153">
        <f t="shared" si="38"/>
        <v>0</v>
      </c>
      <c r="F46" s="153">
        <f t="shared" si="38"/>
        <v>0</v>
      </c>
      <c r="G46" s="153">
        <f t="shared" si="38"/>
        <v>0</v>
      </c>
      <c r="H46" s="153">
        <f t="shared" si="38"/>
        <v>0</v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>
        <f t="shared" si="39"/>
        <v>0</v>
      </c>
      <c r="G47" s="153">
        <f t="shared" si="39"/>
        <v>0</v>
      </c>
      <c r="H47" s="153">
        <f t="shared" si="39"/>
        <v>0</v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4.9902853833308697E-2</v>
      </c>
      <c r="D48" s="153">
        <f t="shared" si="40"/>
        <v>-9.1008781922180815E-3</v>
      </c>
      <c r="E48" s="153">
        <f t="shared" si="40"/>
        <v>4.204518564339043E-2</v>
      </c>
      <c r="F48" s="153">
        <f t="shared" si="40"/>
        <v>6.0477447602910371E-2</v>
      </c>
      <c r="G48" s="153">
        <f t="shared" si="40"/>
        <v>6.8643859184022576E-2</v>
      </c>
      <c r="H48" s="153">
        <f t="shared" si="40"/>
        <v>6.4096728646113099E-2</v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121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123</v>
      </c>
      <c r="C55" s="153">
        <f t="shared" ref="C55:M55" si="45">IF(C22="","",IF(MAX(C17,0)&lt;=0,"-",C17/C22))</f>
        <v>0.10406597465064728</v>
      </c>
      <c r="D55" s="153">
        <f t="shared" si="45"/>
        <v>-0.4553849577214063</v>
      </c>
      <c r="E55" s="153">
        <f t="shared" si="45"/>
        <v>6.5427687834448023E-2</v>
      </c>
      <c r="F55" s="153">
        <f t="shared" si="45"/>
        <v>8.3942567526595541E-2</v>
      </c>
      <c r="G55" s="153">
        <f t="shared" si="45"/>
        <v>7.3234698143629109E-2</v>
      </c>
      <c r="H55" s="153">
        <f t="shared" si="45"/>
        <v>3.0687102059439617E-2</v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21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7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45291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25013339</v>
      </c>
      <c r="D74" s="209"/>
      <c r="E74" s="238">
        <f>Inputs!E91</f>
        <v>17509337.300000001</v>
      </c>
      <c r="F74" s="209"/>
      <c r="H74" s="238">
        <f>Inputs!F91</f>
        <v>20010671.199999999</v>
      </c>
      <c r="I74" s="209"/>
      <c r="K74" s="24"/>
    </row>
    <row r="75" spans="1:11" ht="15" customHeight="1" x14ac:dyDescent="0.4">
      <c r="B75" s="104" t="s">
        <v>106</v>
      </c>
      <c r="C75" s="77">
        <f>Data!C8</f>
        <v>18409837</v>
      </c>
      <c r="D75" s="159">
        <f>C75/$C$74</f>
        <v>0.73600077942413045</v>
      </c>
      <c r="E75" s="238">
        <f>Inputs!E92</f>
        <v>12886885.9</v>
      </c>
      <c r="F75" s="160">
        <f>E75/E74</f>
        <v>0.73600077942413045</v>
      </c>
      <c r="H75" s="238">
        <f>Inputs!F92</f>
        <v>14727869.6</v>
      </c>
      <c r="I75" s="160">
        <f>H75/$H$74</f>
        <v>0.73600077942413045</v>
      </c>
      <c r="K75" s="24"/>
    </row>
    <row r="76" spans="1:11" ht="15" customHeight="1" x14ac:dyDescent="0.4">
      <c r="B76" s="35" t="s">
        <v>96</v>
      </c>
      <c r="C76" s="161">
        <f>C74-C75</f>
        <v>6603502</v>
      </c>
      <c r="D76" s="210"/>
      <c r="E76" s="162">
        <f>E74-E75</f>
        <v>4622451.4000000004</v>
      </c>
      <c r="F76" s="210"/>
      <c r="H76" s="162">
        <f>H74-H75</f>
        <v>5282801.5999999996</v>
      </c>
      <c r="I76" s="210"/>
      <c r="K76" s="24"/>
    </row>
    <row r="77" spans="1:11" ht="15" customHeight="1" x14ac:dyDescent="0.4">
      <c r="B77" s="104" t="s">
        <v>249</v>
      </c>
      <c r="C77" s="77">
        <f>Data!C10+MAX(Data!C11,0)</f>
        <v>5225366</v>
      </c>
      <c r="D77" s="159">
        <f>C77/$C$74</f>
        <v>0.20890317762054877</v>
      </c>
      <c r="E77" s="238">
        <f>Inputs!E93</f>
        <v>3657756.2</v>
      </c>
      <c r="F77" s="160">
        <f>E77/E74</f>
        <v>0.20890317762054877</v>
      </c>
      <c r="H77" s="238">
        <f>Inputs!F93</f>
        <v>4180292.8</v>
      </c>
      <c r="I77" s="160">
        <f>H77/$H$74</f>
        <v>0.20890317762054877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233</v>
      </c>
      <c r="C79" s="257">
        <f>C76-C77-C78</f>
        <v>1378136</v>
      </c>
      <c r="D79" s="258">
        <f>C79/C74</f>
        <v>5.5096042955320758E-2</v>
      </c>
      <c r="E79" s="259">
        <f>E76-E77-E78</f>
        <v>964695.20000000019</v>
      </c>
      <c r="F79" s="258">
        <f>E79/E74</f>
        <v>5.5096042955320765E-2</v>
      </c>
      <c r="G79" s="260"/>
      <c r="H79" s="259">
        <f>H76-H77-H78</f>
        <v>1102508.7999999998</v>
      </c>
      <c r="I79" s="258">
        <f>H79/H74</f>
        <v>5.5096042955320751E-2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132</v>
      </c>
    </row>
    <row r="81" spans="1:11" ht="15" customHeight="1" x14ac:dyDescent="0.4">
      <c r="B81" s="104" t="s">
        <v>258</v>
      </c>
      <c r="C81" s="77">
        <f>MAX(Data!C17,0)</f>
        <v>129899</v>
      </c>
      <c r="D81" s="159">
        <f>C81/$C$74</f>
        <v>5.1931891220120593E-3</v>
      </c>
      <c r="E81" s="180">
        <f>E74*F81</f>
        <v>90929.3</v>
      </c>
      <c r="F81" s="160">
        <f>I81</f>
        <v>5.1931891220120593E-3</v>
      </c>
      <c r="H81" s="238">
        <f>Inputs!F94</f>
        <v>103919.2</v>
      </c>
      <c r="I81" s="160">
        <f>H81/$H$74</f>
        <v>5.1931891220120593E-3</v>
      </c>
      <c r="K81" s="24"/>
    </row>
    <row r="82" spans="1:11" ht="15" customHeight="1" x14ac:dyDescent="0.4">
      <c r="B82" s="28" t="s">
        <v>248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126</v>
      </c>
      <c r="C83" s="163">
        <f>C79-C81-C82-C80</f>
        <v>1248237</v>
      </c>
      <c r="D83" s="164">
        <f>C83/$C$74</f>
        <v>4.9902853833308697E-2</v>
      </c>
      <c r="E83" s="165">
        <f>E79-E81-E82-E80</f>
        <v>873765.90000000014</v>
      </c>
      <c r="F83" s="164">
        <f>E83/E74</f>
        <v>4.9902853833308704E-2</v>
      </c>
      <c r="H83" s="165">
        <f>H79-H81-H82-H80</f>
        <v>998589.59999999986</v>
      </c>
      <c r="I83" s="164">
        <f>H83/$H$74</f>
        <v>4.9902853833308697E-2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165</v>
      </c>
      <c r="C85" s="257">
        <f>C83*(1-I84)</f>
        <v>936177.75</v>
      </c>
      <c r="D85" s="258">
        <f>C85/$C$74</f>
        <v>3.7427140374981523E-2</v>
      </c>
      <c r="E85" s="264">
        <f>E83*(1-F84)</f>
        <v>655324.42500000005</v>
      </c>
      <c r="F85" s="258">
        <f>E85/E74</f>
        <v>3.7427140374981523E-2</v>
      </c>
      <c r="G85" s="260"/>
      <c r="H85" s="264">
        <f>H83*(1-I84)</f>
        <v>748942.2</v>
      </c>
      <c r="I85" s="258">
        <f>H85/$H$74</f>
        <v>3.7427140374981523E-2</v>
      </c>
      <c r="K85" s="24"/>
    </row>
    <row r="86" spans="1:11" ht="15" customHeight="1" x14ac:dyDescent="0.4">
      <c r="B86" s="87" t="s">
        <v>161</v>
      </c>
      <c r="C86" s="167">
        <f>C85*Data!C4/Common_Shares</f>
        <v>1.3819631221712778</v>
      </c>
      <c r="D86" s="209"/>
      <c r="E86" s="168">
        <f>E85*Data!C4/Common_Shares</f>
        <v>0.9673741855198944</v>
      </c>
      <c r="F86" s="209"/>
      <c r="H86" s="168">
        <f>H85*Data!C4/Common_Shares</f>
        <v>1.1055704977370222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0.21130934589774891</v>
      </c>
      <c r="D87" s="209"/>
      <c r="E87" s="262">
        <f>E86*Exchange_Rate/Dashboard!G3</f>
        <v>0.14791654212842423</v>
      </c>
      <c r="F87" s="209"/>
      <c r="H87" s="262">
        <f>H86*Exchange_Rate/Dashboard!G3</f>
        <v>0.16904747671819911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0.55000000000000004</v>
      </c>
      <c r="D88" s="166">
        <f>C88/C86</f>
        <v>0.3979845707719501</v>
      </c>
      <c r="E88" s="170">
        <f>Inputs!E98</f>
        <v>0.44000000000000006</v>
      </c>
      <c r="F88" s="166">
        <f>E88/E86</f>
        <v>0.45483950945365731</v>
      </c>
      <c r="H88" s="170">
        <f>Inputs!F98</f>
        <v>0.55000000000000004</v>
      </c>
      <c r="I88" s="166">
        <f>H88/H86</f>
        <v>0.49748071346493766</v>
      </c>
      <c r="K88" s="24"/>
    </row>
    <row r="89" spans="1:11" ht="15" customHeight="1" x14ac:dyDescent="0.4">
      <c r="B89" s="87" t="s">
        <v>222</v>
      </c>
      <c r="C89" s="261">
        <f>C88*Exchange_Rate/Dashboard!G3</f>
        <v>8.4097859327217125E-2</v>
      </c>
      <c r="D89" s="209"/>
      <c r="E89" s="261">
        <f>E88*Exchange_Rate/Dashboard!G3</f>
        <v>6.7278287461773709E-2</v>
      </c>
      <c r="F89" s="209"/>
      <c r="H89" s="261">
        <f>H88*Exchange_Rate/Dashboard!G3</f>
        <v>8.4097859327217125E-2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HK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8.5999999999999993E-2</v>
      </c>
      <c r="D93" s="239">
        <f>Inputs!C86</f>
        <v>5</v>
      </c>
      <c r="E93" s="87" t="s">
        <v>210</v>
      </c>
      <c r="F93" s="144">
        <f>FV(E87,D93,0,-(E86/(C93-D94)))*Exchange_Rate</f>
        <v>29.214747040396972</v>
      </c>
      <c r="H93" s="87" t="s">
        <v>210</v>
      </c>
      <c r="I93" s="144">
        <f>FV(H87,D93,0,-(H86/(C93-D94)))*Exchange_Rate</f>
        <v>36.576592992178419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9.2320279881983573</v>
      </c>
      <c r="H94" s="87" t="s">
        <v>211</v>
      </c>
      <c r="I94" s="144">
        <f>FV(H89,D93,0,-(H88/(C93-D94)))*Exchange_Rate</f>
        <v>12.478465661271953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12319012.872654906</v>
      </c>
      <c r="D97" s="213"/>
      <c r="E97" s="123">
        <f>PV(C94,D93,0,-F93)</f>
        <v>14.524892556109943</v>
      </c>
      <c r="F97" s="213"/>
      <c r="H97" s="123">
        <f>PV(C94,D93,0,-I93)</f>
        <v>18.185031092185575</v>
      </c>
      <c r="I97" s="123">
        <f>PV(C93,D93,0,-I93)</f>
        <v>24.213307834300771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115</v>
      </c>
      <c r="C100" s="91">
        <f>C97-C98+$C$99</f>
        <v>12319012.872654906</v>
      </c>
      <c r="D100" s="109">
        <f>MIN(F100*(1-C94),E100)</f>
        <v>13.901717550525593</v>
      </c>
      <c r="E100" s="109">
        <f>MAX(E97-H98+E99,0)</f>
        <v>14.524892556109943</v>
      </c>
      <c r="F100" s="109">
        <f>(E100+H100)/2</f>
        <v>16.354961824147757</v>
      </c>
      <c r="H100" s="109">
        <f>MAX(C100*Data!$C$4/Common_Shares,0)</f>
        <v>18.185031092185575</v>
      </c>
      <c r="I100" s="109">
        <f>MAX(I97-H98+H99,0)</f>
        <v>24.213307834300771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4202752.8136659302</v>
      </c>
      <c r="D103" s="109">
        <f>MIN(F103*(1-C94),E103)</f>
        <v>4.5874297506021087</v>
      </c>
      <c r="E103" s="123">
        <f>PV(C94,D93,0,-F94)</f>
        <v>4.589949535354898</v>
      </c>
      <c r="F103" s="109">
        <f>(E103+H103)/2</f>
        <v>5.3969761771789519</v>
      </c>
      <c r="H103" s="123">
        <f>PV(C94,D93,0,-I94)</f>
        <v>6.2040028190030059</v>
      </c>
      <c r="I103" s="109">
        <f>PV(C93,D93,0,-I94)</f>
        <v>8.2606089205941178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6474445.5093263304</v>
      </c>
      <c r="D106" s="109">
        <f>(D100+D103)/2</f>
        <v>9.2445736505638507</v>
      </c>
      <c r="E106" s="123">
        <f>(E100+E103)/2</f>
        <v>9.5574210457324202</v>
      </c>
      <c r="F106" s="109">
        <f>(F100+F103)/2</f>
        <v>10.875969000663355</v>
      </c>
      <c r="H106" s="123">
        <f>(H100+H103)/2</f>
        <v>12.19451695559429</v>
      </c>
      <c r="I106" s="123">
        <f>(I100+I103)/2</f>
        <v>16.236958377447444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2024-12-09T06:11:19Z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