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688B561E-E9BE-45DC-BCE4-726C78739B48}" xr6:coauthVersionLast="47" xr6:coauthVersionMax="47" xr10:uidLastSave="{00000000-0000-0000-0000-000000000000}"/>
  <bookViews>
    <workbookView xWindow="-98" yWindow="-98" windowWidth="17115" windowHeight="10755" firstSheet="3" activeTab="3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D27" i="4" l="1"/>
  <c r="C27" i="4"/>
  <c r="D94" i="3" l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93" i="4"/>
  <c r="C92" i="4"/>
  <c r="C91" i="4"/>
  <c r="E91" i="4" s="1"/>
  <c r="F98" i="4" l="1"/>
  <c r="F91" i="4"/>
  <c r="I12" i="2"/>
  <c r="J12" i="2"/>
  <c r="K12" i="2"/>
  <c r="L12" i="2"/>
  <c r="M12" i="2"/>
  <c r="E98" i="4" l="1"/>
  <c r="E88" i="3" s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D50" i="4" l="1"/>
  <c r="D56" i="4" s="1"/>
  <c r="D59" i="4"/>
  <c r="D69" i="4"/>
  <c r="D68" i="4"/>
  <c r="D67" i="4"/>
  <c r="D55" i="4"/>
  <c r="D62" i="4"/>
  <c r="D63" i="4" s="1"/>
  <c r="D61" i="4"/>
  <c r="D60" i="4"/>
  <c r="D58" i="4"/>
  <c r="D71" i="4" s="1"/>
  <c r="D53" i="4" l="1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E93" i="4" l="1"/>
  <c r="F93" i="4"/>
  <c r="F92" i="4"/>
  <c r="H75" i="3" s="1"/>
  <c r="H77" i="3"/>
  <c r="E74" i="3"/>
  <c r="F97" i="4"/>
  <c r="H78" i="3" s="1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92" i="4"/>
  <c r="E75" i="3" s="1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F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95" i="4" l="1"/>
  <c r="E82" i="3" s="1"/>
  <c r="E83" i="3" s="1"/>
  <c r="F95" i="4"/>
  <c r="H82" i="3" s="1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<sst xmlns="http://schemas.openxmlformats.org/spreadsheetml/2006/main" count="391" uniqueCount="268">
  <si>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</si>
  <si>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</si>
  <si>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</si>
  <si>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</si>
  <si>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</si>
  <si>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</si>
  <si>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</si>
  <si>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</si>
  <si>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</si>
  <si>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</si>
  <si>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</si>
  <si>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</si>
  <si>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</si>
  <si>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</si>
  <si>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</si>
  <si>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</si>
  <si>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</si>
  <si>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</si>
  <si>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</si>
  <si>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</si>
  <si>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</si>
  <si>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</si>
  <si>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</si>
  <si>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</si>
  <si>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</si>
  <si>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</si>
  <si>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</si>
  <si>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</si>
  <si>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</si>
  <si>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</si>
  <si>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</si>
  <si>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</si>
  <si>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</si>
  <si>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</si>
  <si>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</si>
  <si>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</si>
  <si>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</si>
  <si>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</si>
  <si>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</si>
  <si>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</si>
  <si>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</si>
  <si>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</si>
  <si>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</si>
  <si>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</si>
  <si>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</si>
  <si>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</si>
  <si>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</si>
  <si>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</si>
  <si>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</si>
  <si>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</si>
  <si>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</si>
  <si>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</si>
  <si>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</si>
  <si>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</si>
  <si>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</si>
  <si>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</si>
  <si>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</si>
  <si>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</si>
  <si>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</si>
  <si>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</si>
  <si>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</si>
  <si>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</si>
  <si>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</si>
  <si>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</si>
  <si>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</si>
  <si>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</si>
  <si>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</si>
  <si>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</si>
  <si>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</si>
  <si>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</si>
  <si>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</si>
  <si>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</si>
  <si>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</si>
  <si>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</si>
  <si>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</si>
  <si>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</si>
  <si>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</si>
  <si>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</si>
  <si>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</si>
  <si>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</si>
  <si>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</si>
  <si>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</si>
  <si>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</si>
  <si>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</si>
  <si>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</si>
  <si>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</si>
  <si>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</si>
  <si>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</si>
  <si>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</si>
  <si>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</si>
  <si>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</si>
  <si>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</si>
  <si>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</si>
  <si>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</si>
  <si>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</si>
  <si>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</si>
  <si>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</si>
  <si>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</si>
  <si>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</si>
  <si>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</si>
  <si>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</si>
  <si>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</si>
  <si>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</si>
  <si>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</si>
  <si>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</si>
  <si>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</si>
  <si>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</si>
  <si>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</si>
  <si>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</si>
  <si>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</si>
  <si>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</si>
  <si>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</si>
  <si>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</si>
  <si>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</si>
  <si>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</si>
  <si>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</si>
  <si>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</si>
  <si>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</si>
  <si>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</si>
  <si>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</si>
  <si>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</si>
  <si>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</si>
  <si>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</si>
  <si>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</si>
  <si>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</si>
  <si>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</si>
  <si>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</si>
  <si>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</si>
  <si>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</si>
  <si>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</si>
  <si>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</si>
  <si>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</si>
  <si>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</si>
  <si>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</si>
  <si>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</si>
  <si>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</si>
  <si>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</si>
  <si>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</si>
  <si>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</si>
  <si>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</si>
  <si>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</si>
  <si>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</si>
  <si>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</si>
  <si>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</si>
  <si>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</si>
  <si>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</si>
  <si>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</si>
  <si>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</si>
  <si>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</si>
  <si>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</si>
  <si>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</si>
  <si>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</si>
  <si>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</si>
  <si>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</si>
  <si>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</si>
  <si>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</si>
  <si>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</si>
  <si>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</si>
  <si>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</si>
  <si>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</si>
  <si>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</si>
  <si>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</si>
  <si>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</si>
  <si>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</si>
  <si>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</si>
  <si>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</si>
  <si>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</si>
  <si>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</si>
  <si>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</si>
  <si>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</si>
  <si>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</si>
  <si>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</si>
  <si>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</si>
  <si>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</si>
  <si>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</si>
  <si>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</si>
  <si>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</si>
  <si>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</si>
  <si>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</si>
  <si>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</si>
  <si>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</si>
  <si>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</si>
  <si>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</si>
  <si>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</si>
  <si>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</si>
  <si>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</si>
  <si>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</si>
  <si>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</si>
  <si>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</si>
  <si>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</si>
  <si>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</si>
  <si>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</si>
  <si>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</si>
  <si>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</si>
  <si>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</si>
  <si>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</si>
  <si>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</si>
  <si>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</si>
  <si>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</si>
  <si>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</si>
  <si>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</si>
  <si>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</si>
  <si>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</si>
  <si>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</si>
  <si>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</si>
  <si>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</si>
  <si>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</si>
  <si>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</si>
  <si>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</si>
  <si>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</si>
  <si>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</si>
  <si>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</si>
  <si>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</si>
  <si>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</si>
  <si>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</si>
  <si>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</si>
  <si>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</si>
  <si>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</si>
  <si>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</si>
  <si>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</si>
  <si>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</si>
  <si>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</si>
  <si>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</si>
  <si>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</si>
  <si>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</si>
  <si>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</si>
  <si>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</si>
  <si>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</si>
  <si>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</si>
  <si>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</si>
  <si>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</si>
  <si>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</si>
  <si>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</si>
  <si>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</si>
  <si>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</si>
  <si>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</si>
  <si>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</si>
  <si>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</si>
  <si>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</si>
  <si>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</si>
  <si>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</si>
  <si>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</si>
  <si>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</si>
  <si>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</si>
  <si>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</si>
  <si>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</si>
  <si>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</si>
  <si>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</si>
  <si>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</si>
  <si>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</si>
  <si>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</si>
  <si>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</si>
  <si>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</si>
  <si>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</si>
  <si>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</si>
  <si>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</si>
  <si>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</si>
  <si>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</si>
  <si>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</si>
  <si>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</si>
  <si>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</si>
  <si>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0564.HK</t>
  </si>
  <si>
    <t>C0006</t>
  </si>
  <si>
    <t>CNY</t>
  </si>
  <si>
    <t>鄭煤機</t>
  </si>
  <si>
    <t>CN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</si>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</sst>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0.78453465804081768</c:v>
                </c:pt>
                <c:pt idx="1">
                  <c:v>0.10773556748225227</c:v>
                </c:pt>
                <c:pt idx="2">
                  <c:v>7.3308514744086254E-3</c:v>
                </c:pt>
                <c:pt idx="3">
                  <c:v>0</c:v>
                </c:pt>
                <c:pt idx="4">
                  <c:v>1.0669041048412063E-2</c:v>
                </c:pt>
                <c:pt idx="5">
                  <c:v>0</c:v>
                </c:pt>
                <c:pt idx="6">
                  <c:v>8.9729881954109345E-2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23" zoomScaleNormal="100" workbookViewId="0">
      <selection activeCell="D28" sqref="D2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261</v>
      </c>
    </row>
    <row r="5" spans="1:5" ht="13.9" x14ac:dyDescent="0.4">
      <c r="B5" s="141" t="s">
        <v>195</v>
      </c>
      <c r="C5" s="191" t="s">
        <v>264</v>
      </c>
    </row>
    <row r="6" spans="1:5" ht="13.9" x14ac:dyDescent="0.4">
      <c r="B6" s="141" t="s">
        <v>163</v>
      </c>
      <c r="C6" s="189">
        <v>45634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262</v>
      </c>
    </row>
    <row r="10" spans="1:5" ht="13.9" x14ac:dyDescent="0.4">
      <c r="B10" s="140" t="s">
        <v>217</v>
      </c>
      <c r="C10" s="193">
        <v>1785399930</v>
      </c>
    </row>
    <row r="11" spans="1:5" ht="13.9" x14ac:dyDescent="0.4">
      <c r="B11" s="140" t="s">
        <v>218</v>
      </c>
      <c r="C11" s="192" t="s">
        <v>263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265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36423236</v>
      </c>
      <c r="D25" s="149">
        <v>32043306</v>
      </c>
      <c r="E25" s="149">
        <v>29293527</v>
      </c>
      <c r="F25" s="149">
        <v>26519393</v>
      </c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28575291</v>
      </c>
      <c r="D26" s="150">
        <v>25644599</v>
      </c>
      <c r="E26" s="150">
        <v>22885480</v>
      </c>
      <c r="F26" s="150">
        <v>20008105</v>
      </c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1156268+1199587+1568223</f>
        <v>3924078</v>
      </c>
      <c r="D27" s="150">
        <f>831593+1072973+1385962</f>
        <v>3290528</v>
      </c>
      <c r="E27" s="150">
        <v>877689</v>
      </c>
      <c r="F27" s="150">
        <v>1662947</v>
      </c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388601</v>
      </c>
      <c r="D29" s="150">
        <v>265410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200260</v>
      </c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0.84</v>
      </c>
      <c r="D44" s="250">
        <v>0.56000000000000005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8.9216805166668356E-2</v>
      </c>
      <c r="D45" s="152">
        <f>IF(D44="","",D44*Exchange_Rate/Dashboard!$G$3)</f>
        <v>5.9477870111112247E-2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36423236</v>
      </c>
      <c r="D91" s="209"/>
      <c r="E91" s="251">
        <f>C91</f>
        <v>36423236</v>
      </c>
      <c r="F91" s="251">
        <f>C91</f>
        <v>36423236</v>
      </c>
    </row>
    <row r="92" spans="2:8" ht="13.9" x14ac:dyDescent="0.4">
      <c r="B92" s="104" t="s">
        <v>105</v>
      </c>
      <c r="C92" s="77">
        <f>C26</f>
        <v>28575291</v>
      </c>
      <c r="D92" s="159">
        <f>C92/C91</f>
        <v>0.78453465804081768</v>
      </c>
      <c r="E92" s="252">
        <f>E91*D92</f>
        <v>28575291</v>
      </c>
      <c r="F92" s="252">
        <f>F91*D92</f>
        <v>28575291</v>
      </c>
    </row>
    <row r="93" spans="2:8" ht="13.9" x14ac:dyDescent="0.4">
      <c r="B93" s="104" t="s">
        <v>247</v>
      </c>
      <c r="C93" s="77">
        <f>C27+C28</f>
        <v>3924078</v>
      </c>
      <c r="D93" s="159">
        <f>C93/C91</f>
        <v>0.10773556748225227</v>
      </c>
      <c r="E93" s="252">
        <f>E91*D93</f>
        <v>3924078.0000000005</v>
      </c>
      <c r="F93" s="252">
        <f>F91*D93</f>
        <v>3924078.0000000005</v>
      </c>
    </row>
    <row r="94" spans="2:8" ht="13.9" x14ac:dyDescent="0.4">
      <c r="B94" s="104" t="s">
        <v>257</v>
      </c>
      <c r="C94" s="77">
        <f>C29</f>
        <v>388601</v>
      </c>
      <c r="D94" s="159">
        <f>C94/C91</f>
        <v>1.0669041048412063E-2</v>
      </c>
      <c r="E94" s="253"/>
      <c r="F94" s="252">
        <f>F91*D94</f>
        <v>388601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267013.33333333331</v>
      </c>
      <c r="D97" s="159">
        <f>C97/C91</f>
        <v>7.3308514744086254E-3</v>
      </c>
      <c r="E97" s="253"/>
      <c r="F97" s="252">
        <f>F91*D97</f>
        <v>267013.33333333331</v>
      </c>
    </row>
    <row r="98" spans="2:7" ht="13.9" x14ac:dyDescent="0.4">
      <c r="B98" s="86" t="s">
        <v>207</v>
      </c>
      <c r="C98" s="237">
        <f>C44</f>
        <v>0.84</v>
      </c>
      <c r="D98" s="266"/>
      <c r="E98" s="254">
        <f>F98</f>
        <v>0.84</v>
      </c>
      <c r="F98" s="254">
        <f>C98</f>
        <v>0.84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28" sqref="D28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0564.HK : 鄭煤機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0564.HK</v>
      </c>
      <c r="D3" s="278"/>
      <c r="E3" s="87"/>
      <c r="F3" s="3" t="s">
        <v>1</v>
      </c>
      <c r="G3" s="132">
        <v>10.08</v>
      </c>
      <c r="H3" s="134" t="s">
        <v>267</v>
      </c>
    </row>
    <row r="4" spans="1:10" ht="15.75" customHeight="1" x14ac:dyDescent="0.4">
      <c r="B4" s="35" t="s">
        <v>195</v>
      </c>
      <c r="C4" s="279" t="str">
        <f>Inputs!C5</f>
        <v>鄭煤機</v>
      </c>
      <c r="D4" s="280"/>
      <c r="E4" s="87"/>
      <c r="F4" s="3" t="s">
        <v>2</v>
      </c>
      <c r="G4" s="283">
        <f>Inputs!C10</f>
        <v>1785399930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45634</v>
      </c>
      <c r="D5" s="282"/>
      <c r="E5" s="34"/>
      <c r="F5" s="35" t="s">
        <v>99</v>
      </c>
      <c r="G5" s="275">
        <f>G3*G4/1000000</f>
        <v>17996.831294400003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C0006</v>
      </c>
      <c r="E7" s="87"/>
      <c r="F7" s="35" t="s">
        <v>5</v>
      </c>
      <c r="G7" s="133">
        <v>1.0706016620000203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0.08</v>
      </c>
      <c r="D12" s="172">
        <v>8.5999999999999993E-2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9.1999999999999998E-2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0.78453465804081768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0.10773556748225227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7.3308514744086254E-3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1.0669041048412063E-2</v>
      </c>
      <c r="F24" s="140" t="s">
        <v>260</v>
      </c>
      <c r="G24" s="268">
        <f>G3/(Fin_Analysis!H86*G7)</f>
        <v>6.857901525611485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0.61184006426267745</v>
      </c>
    </row>
    <row r="26" spans="1:8" ht="15.75" customHeight="1" x14ac:dyDescent="0.4">
      <c r="B26" s="138" t="s">
        <v>173</v>
      </c>
      <c r="C26" s="171">
        <f>Fin_Analysis!I83</f>
        <v>8.9729881954109345E-2</v>
      </c>
      <c r="F26" s="141" t="s">
        <v>193</v>
      </c>
      <c r="G26" s="178">
        <f>Fin_Analysis!H88*Exchange_Rate/G3</f>
        <v>8.9216805166668356E-2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8.0923767443828236</v>
      </c>
      <c r="D29" s="129">
        <f>G29*(1+G20)</f>
        <v>14.181788946608313</v>
      </c>
      <c r="E29" s="87"/>
      <c r="F29" s="131">
        <f>IF(Fin_Analysis!C108="Profit",Fin_Analysis!F100,IF(Fin_Analysis!C108="Dividend",Fin_Analysis!F103,Fin_Analysis!F106))</f>
        <v>9.5204432286856751</v>
      </c>
      <c r="G29" s="274">
        <f>IF(Fin_Analysis!C108="Profit",Fin_Analysis!I100,IF(Fin_Analysis!C108="Dividend",Fin_Analysis!I103,Fin_Analysis!I106))</f>
        <v>12.331990388355056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17" zoomScaleNormal="100" workbookViewId="0">
      <pane xSplit="2" topLeftCell="C1" activePane="topRight" state="frozen"/>
      <selection activeCell="A4" sqref="A4"/>
      <selection pane="topRight" activeCell="D46" sqref="D46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3656853.6666666665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36423236</v>
      </c>
      <c r="D6" s="200">
        <f>IF(Inputs!D25="","",Inputs!D25)</f>
        <v>32043306</v>
      </c>
      <c r="E6" s="200">
        <f>IF(Inputs!E25="","",Inputs!E25)</f>
        <v>29293527</v>
      </c>
      <c r="F6" s="200">
        <f>IF(Inputs!F25="","",Inputs!F25)</f>
        <v>26519393</v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0.13668783114950744</v>
      </c>
      <c r="D7" s="92">
        <f t="shared" si="1"/>
        <v>9.3869850496322904E-2</v>
      </c>
      <c r="E7" s="92">
        <f t="shared" si="1"/>
        <v>0.10460774875201717</v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28575291</v>
      </c>
      <c r="D8" s="199">
        <f>IF(Inputs!D26="","",Inputs!D26)</f>
        <v>25644599</v>
      </c>
      <c r="E8" s="199">
        <f>IF(Inputs!E26="","",Inputs!E26)</f>
        <v>22885480</v>
      </c>
      <c r="F8" s="199">
        <f>IF(Inputs!F26="","",Inputs!F26)</f>
        <v>20008105</v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7847945</v>
      </c>
      <c r="D9" s="151">
        <f t="shared" si="2"/>
        <v>6398707</v>
      </c>
      <c r="E9" s="151">
        <f t="shared" si="2"/>
        <v>6408047</v>
      </c>
      <c r="F9" s="151">
        <f t="shared" si="2"/>
        <v>6511288</v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3924078</v>
      </c>
      <c r="D10" s="199">
        <f>IF(Inputs!D27="","",Inputs!D27)</f>
        <v>3290528</v>
      </c>
      <c r="E10" s="199">
        <f>IF(Inputs!E27="","",Inputs!E27)</f>
        <v>877689</v>
      </c>
      <c r="F10" s="199">
        <f>IF(Inputs!F27="","",Inputs!F27)</f>
        <v>1662947</v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267013.33333333331</v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0.10039892300252143</v>
      </c>
      <c r="D13" s="229">
        <f t="shared" si="3"/>
        <v>9.6999323353214553E-2</v>
      </c>
      <c r="E13" s="229">
        <f t="shared" si="3"/>
        <v>0.18879112781468751</v>
      </c>
      <c r="F13" s="229">
        <f t="shared" si="3"/>
        <v>0.18282247259580942</v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3656853.6666666665</v>
      </c>
      <c r="D14" s="230">
        <f t="shared" ref="D14:M14" si="4">IF(D6="","",D9-D10-MAX(D11,0)-MAX(D12,0))</f>
        <v>3108179</v>
      </c>
      <c r="E14" s="230">
        <f t="shared" si="4"/>
        <v>5530358</v>
      </c>
      <c r="F14" s="230">
        <f t="shared" si="4"/>
        <v>4848341</v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0.17652608381520707</v>
      </c>
      <c r="D15" s="232">
        <f t="shared" ref="D15:M15" si="5">IF(E14="","",IF(ABS(D14+E14)=ABS(D14)+ABS(E14),IF(D14&lt;0,-1,1)*(D14-E14)/E14,"Turn"))</f>
        <v>-0.43797869866652395</v>
      </c>
      <c r="E15" s="232">
        <f t="shared" si="5"/>
        <v>0.14067017975839571</v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388601</v>
      </c>
      <c r="D17" s="199">
        <f>IF(Inputs!D29="","",Inputs!D29)</f>
        <v>265410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>
        <f t="shared" si="7"/>
        <v>0</v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3268252.6666666665</v>
      </c>
      <c r="D22" s="161">
        <f t="shared" ref="D22:M22" si="8">IF(D6="","",D14-MAX(D16,0)-MAX(D17,0)-ABS(MAX(D21,0)-MAX(D19,0)))</f>
        <v>2842769</v>
      </c>
      <c r="E22" s="161">
        <f t="shared" si="8"/>
        <v>5530358</v>
      </c>
      <c r="F22" s="161">
        <f t="shared" si="8"/>
        <v>4848341</v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6.7297411465582019E-2</v>
      </c>
      <c r="D23" s="153">
        <f t="shared" si="9"/>
        <v>6.6537352606500719E-2</v>
      </c>
      <c r="E23" s="153">
        <f t="shared" si="9"/>
        <v>0.14159334586101566</v>
      </c>
      <c r="F23" s="153">
        <f t="shared" si="9"/>
        <v>0.13711685444685706</v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2451189.5</v>
      </c>
      <c r="D24" s="77">
        <f>IF(D6="","",D22*(1-Fin_Analysis!$I$84))</f>
        <v>2132076.75</v>
      </c>
      <c r="E24" s="77">
        <f>IF(E6="","",E22*(1-Fin_Analysis!$I$84))</f>
        <v>4147768.5</v>
      </c>
      <c r="F24" s="77">
        <f>IF(F6="","",F22*(1-Fin_Analysis!$I$84))</f>
        <v>3636255.75</v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0.14967226203278094</v>
      </c>
      <c r="D25" s="233">
        <f t="shared" ref="D25:M25" si="10">IF(E24="","",IF(ABS(D24+E24)=ABS(D24)+ABS(E24),IF(D24&lt;0,-1,1)*(D24-E24)/E24,"Turn"))</f>
        <v>-0.48597016684995797</v>
      </c>
      <c r="E25" s="233">
        <f t="shared" si="10"/>
        <v>0.14067017975839571</v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0.78453465804081768</v>
      </c>
      <c r="D42" s="156">
        <f t="shared" si="34"/>
        <v>0.80031064834571064</v>
      </c>
      <c r="E42" s="156">
        <f t="shared" si="34"/>
        <v>0.78124699699015421</v>
      </c>
      <c r="F42" s="156">
        <f t="shared" si="34"/>
        <v>0.75447069998924943</v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0.10773556748225227</v>
      </c>
      <c r="D43" s="153">
        <f t="shared" si="35"/>
        <v>0.10269002830107481</v>
      </c>
      <c r="E43" s="153">
        <f t="shared" si="35"/>
        <v>2.9961875195158302E-2</v>
      </c>
      <c r="F43" s="153">
        <f t="shared" si="35"/>
        <v>6.2706827414941213E-2</v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1.0669041048412063E-2</v>
      </c>
      <c r="D45" s="153">
        <f t="shared" si="37"/>
        <v>8.2828532112136002E-3</v>
      </c>
      <c r="E45" s="153">
        <f t="shared" si="37"/>
        <v>0</v>
      </c>
      <c r="F45" s="153">
        <f t="shared" si="37"/>
        <v>0</v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7.3308514744086254E-3</v>
      </c>
      <c r="D46" s="153">
        <f t="shared" ref="D46:M46" si="38">IF(D6="","",MAX(D12,0)/D6)</f>
        <v>0</v>
      </c>
      <c r="E46" s="153">
        <f t="shared" si="38"/>
        <v>0</v>
      </c>
      <c r="F46" s="153">
        <f t="shared" si="38"/>
        <v>0</v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>
        <f t="shared" si="39"/>
        <v>0</v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8.9729881954109358E-2</v>
      </c>
      <c r="D48" s="153">
        <f t="shared" si="40"/>
        <v>8.8716470142000958E-2</v>
      </c>
      <c r="E48" s="153">
        <f t="shared" si="40"/>
        <v>0.18879112781468751</v>
      </c>
      <c r="F48" s="153">
        <f t="shared" si="40"/>
        <v>0.18282247259580942</v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0.11890176177729221</v>
      </c>
      <c r="D55" s="153">
        <f t="shared" si="45"/>
        <v>9.3363196235782792E-2</v>
      </c>
      <c r="E55" s="153" t="str">
        <f t="shared" si="45"/>
        <v>-</v>
      </c>
      <c r="F55" s="153" t="str">
        <f t="shared" si="45"/>
        <v>-</v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abSelected="1" topLeftCell="B70" zoomScaleNormal="100" workbookViewId="0">
      <selection activeCell="D104" sqref="D104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36423236</v>
      </c>
      <c r="D74" s="209"/>
      <c r="E74" s="238">
        <f>Inputs!E91</f>
        <v>36423236</v>
      </c>
      <c r="F74" s="209"/>
      <c r="H74" s="238">
        <f>Inputs!F91</f>
        <v>36423236</v>
      </c>
      <c r="I74" s="209"/>
      <c r="K74" s="24"/>
    </row>
    <row r="75" spans="1:11" ht="15" customHeight="1" x14ac:dyDescent="0.4">
      <c r="B75" s="104" t="s">
        <v>105</v>
      </c>
      <c r="C75" s="77">
        <f>Data!C8</f>
        <v>28575291</v>
      </c>
      <c r="D75" s="159">
        <f>C75/$C$74</f>
        <v>0.78453465804081768</v>
      </c>
      <c r="E75" s="238">
        <f>Inputs!E92</f>
        <v>28575291</v>
      </c>
      <c r="F75" s="160">
        <f>E75/E74</f>
        <v>0.78453465804081768</v>
      </c>
      <c r="H75" s="238">
        <f>Inputs!F92</f>
        <v>28575291</v>
      </c>
      <c r="I75" s="160">
        <f>H75/$H$74</f>
        <v>0.78453465804081768</v>
      </c>
      <c r="K75" s="24"/>
    </row>
    <row r="76" spans="1:11" ht="15" customHeight="1" x14ac:dyDescent="0.4">
      <c r="B76" s="35" t="s">
        <v>95</v>
      </c>
      <c r="C76" s="161">
        <f>C74-C75</f>
        <v>7847945</v>
      </c>
      <c r="D76" s="210"/>
      <c r="E76" s="162">
        <f>E74-E75</f>
        <v>7847945</v>
      </c>
      <c r="F76" s="210"/>
      <c r="H76" s="162">
        <f>H74-H75</f>
        <v>7847945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3924078</v>
      </c>
      <c r="D77" s="159">
        <f>C77/$C$74</f>
        <v>0.10773556748225227</v>
      </c>
      <c r="E77" s="238">
        <f>Inputs!E93</f>
        <v>3924078.0000000005</v>
      </c>
      <c r="F77" s="160">
        <f>E77/E74</f>
        <v>0.10773556748225227</v>
      </c>
      <c r="H77" s="238">
        <f>Inputs!F93</f>
        <v>3924078.0000000005</v>
      </c>
      <c r="I77" s="160">
        <f>H77/$H$74</f>
        <v>0.10773556748225227</v>
      </c>
      <c r="K77" s="24"/>
    </row>
    <row r="78" spans="1:11" ht="15" customHeight="1" x14ac:dyDescent="0.4">
      <c r="B78" s="73" t="s">
        <v>172</v>
      </c>
      <c r="C78" s="77">
        <f>MAX(Data!C12,0)</f>
        <v>267013.33333333331</v>
      </c>
      <c r="D78" s="159">
        <f>C78/$C$74</f>
        <v>7.3308514744086254E-3</v>
      </c>
      <c r="E78" s="180">
        <f>E74*F78</f>
        <v>267013.33333333331</v>
      </c>
      <c r="F78" s="160">
        <f>I78</f>
        <v>7.3308514744086254E-3</v>
      </c>
      <c r="H78" s="238">
        <f>Inputs!F97</f>
        <v>267013.33333333331</v>
      </c>
      <c r="I78" s="160">
        <f>H78/$H$74</f>
        <v>7.3308514744086254E-3</v>
      </c>
      <c r="K78" s="24"/>
    </row>
    <row r="79" spans="1:11" ht="15" customHeight="1" x14ac:dyDescent="0.4">
      <c r="B79" s="256" t="s">
        <v>232</v>
      </c>
      <c r="C79" s="257">
        <f>C76-C77-C78</f>
        <v>3656853.6666666665</v>
      </c>
      <c r="D79" s="258">
        <f>C79/C74</f>
        <v>0.10039892300252143</v>
      </c>
      <c r="E79" s="259">
        <f>E76-E77-E78</f>
        <v>3656853.666666666</v>
      </c>
      <c r="F79" s="258">
        <f>E79/E74</f>
        <v>0.10039892300252141</v>
      </c>
      <c r="G79" s="260"/>
      <c r="H79" s="259">
        <f>H76-H77-H78</f>
        <v>3656853.666666666</v>
      </c>
      <c r="I79" s="258">
        <f>H79/H74</f>
        <v>0.10039892300252141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388601</v>
      </c>
      <c r="D81" s="159">
        <f>C81/$C$74</f>
        <v>1.0669041048412063E-2</v>
      </c>
      <c r="E81" s="180">
        <f>E74*F81</f>
        <v>388601</v>
      </c>
      <c r="F81" s="160">
        <f>I81</f>
        <v>1.0669041048412063E-2</v>
      </c>
      <c r="H81" s="238">
        <f>Inputs!F94</f>
        <v>388601</v>
      </c>
      <c r="I81" s="160">
        <f>H81/$H$74</f>
        <v>1.0669041048412063E-2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3268252.6666666665</v>
      </c>
      <c r="D83" s="164">
        <f>C83/$C$74</f>
        <v>8.9729881954109358E-2</v>
      </c>
      <c r="E83" s="165">
        <f>E79-E81-E82-E80</f>
        <v>3268252.666666666</v>
      </c>
      <c r="F83" s="164">
        <f>E83/E74</f>
        <v>8.9729881954109345E-2</v>
      </c>
      <c r="H83" s="165">
        <f>H79-H81-H82-H80</f>
        <v>3268252.666666666</v>
      </c>
      <c r="I83" s="164">
        <f>H83/$H$74</f>
        <v>8.9729881954109345E-2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2451189.5</v>
      </c>
      <c r="D85" s="258">
        <f>C85/$C$74</f>
        <v>6.7297411465582019E-2</v>
      </c>
      <c r="E85" s="264">
        <f>E83*(1-F84)</f>
        <v>2451189.4999999995</v>
      </c>
      <c r="F85" s="258">
        <f>E85/E74</f>
        <v>6.7297411465582019E-2</v>
      </c>
      <c r="G85" s="260"/>
      <c r="H85" s="264">
        <f>H83*(1-I84)</f>
        <v>2451189.4999999995</v>
      </c>
      <c r="I85" s="258">
        <f>H85/$H$74</f>
        <v>6.7297411465582019E-2</v>
      </c>
      <c r="K85" s="24"/>
    </row>
    <row r="86" spans="1:11" ht="15" customHeight="1" x14ac:dyDescent="0.4">
      <c r="B86" s="87" t="s">
        <v>160</v>
      </c>
      <c r="C86" s="167">
        <f>C85*Data!C4/Common_Shares</f>
        <v>1.3729078055917701</v>
      </c>
      <c r="D86" s="209"/>
      <c r="E86" s="168">
        <f>E85*Data!C4/Common_Shares</f>
        <v>1.3729078055917698</v>
      </c>
      <c r="F86" s="209"/>
      <c r="H86" s="168">
        <f>H85*Data!C4/Common_Shares</f>
        <v>1.3729078055917698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0.14581720024199898</v>
      </c>
      <c r="D87" s="209"/>
      <c r="E87" s="262">
        <f>E86*Exchange_Rate/Dashboard!G3</f>
        <v>0.14581720024199896</v>
      </c>
      <c r="F87" s="209"/>
      <c r="H87" s="262">
        <f>H86*Exchange_Rate/Dashboard!G3</f>
        <v>0.14581720024199896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0.84</v>
      </c>
      <c r="D88" s="166">
        <f>C88/C86</f>
        <v>0.61184006426267734</v>
      </c>
      <c r="E88" s="170">
        <f>Inputs!E98</f>
        <v>0.84</v>
      </c>
      <c r="F88" s="166">
        <f>E88/E86</f>
        <v>0.61184006426267745</v>
      </c>
      <c r="H88" s="170">
        <f>Inputs!F98</f>
        <v>0.84</v>
      </c>
      <c r="I88" s="166">
        <f>H88/H86</f>
        <v>0.61184006426267745</v>
      </c>
      <c r="K88" s="24"/>
    </row>
    <row r="89" spans="1:11" ht="15" customHeight="1" x14ac:dyDescent="0.4">
      <c r="B89" s="87" t="s">
        <v>221</v>
      </c>
      <c r="C89" s="261">
        <f>C88*Exchange_Rate/Dashboard!G3</f>
        <v>8.9216805166668356E-2</v>
      </c>
      <c r="D89" s="209"/>
      <c r="E89" s="261">
        <f>E88*Exchange_Rate/Dashboard!G3</f>
        <v>8.9216805166668356E-2</v>
      </c>
      <c r="F89" s="209"/>
      <c r="H89" s="261">
        <f>H88*Exchange_Rate/Dashboard!G3</f>
        <v>8.9216805166668356E-2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9.1999999999999998E-2</v>
      </c>
      <c r="D93" s="239">
        <f>Inputs!C86</f>
        <v>5</v>
      </c>
      <c r="E93" s="87" t="s">
        <v>209</v>
      </c>
      <c r="F93" s="144">
        <f>FV(E87,D93,0,-(E86/(C93-D94)))*Exchange_Rate</f>
        <v>40.319345859484386</v>
      </c>
      <c r="H93" s="87" t="s">
        <v>209</v>
      </c>
      <c r="I93" s="144">
        <f>FV(H87,D93,0,-(H86/(C93-D94)))*Exchange_Rate</f>
        <v>40.319345859484386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19.149011916202632</v>
      </c>
      <c r="H94" s="87" t="s">
        <v>210</v>
      </c>
      <c r="I94" s="144">
        <f>FV(H89,D93,0,-(H88/(C93-D94)))*Exchange_Rate</f>
        <v>19.149011916202632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35789842.660737872</v>
      </c>
      <c r="D97" s="213"/>
      <c r="E97" s="123">
        <f>PV(C94,D93,0,-F93)</f>
        <v>20.045840743781071</v>
      </c>
      <c r="F97" s="213"/>
      <c r="H97" s="123">
        <f>PV(C94,D93,0,-I93)</f>
        <v>20.045840743781071</v>
      </c>
      <c r="I97" s="123">
        <f>PV(C93,D93,0,-I93)</f>
        <v>25.965714982046244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35789842.660737872</v>
      </c>
      <c r="D100" s="109">
        <f>MIN(F100*(1-C94),E100)</f>
        <v>17.038964632213908</v>
      </c>
      <c r="E100" s="109">
        <f>MAX(E97-H98+E99,0)</f>
        <v>20.045840743781071</v>
      </c>
      <c r="F100" s="109">
        <f>(E100+H100)/2</f>
        <v>20.045840743781071</v>
      </c>
      <c r="H100" s="109">
        <f>MAX(C100*Data!$C$4/Common_Shares,0)</f>
        <v>20.045840743781071</v>
      </c>
      <c r="I100" s="109">
        <f>MAX(I97-H98+H99,0)</f>
        <v>25.965714982046244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16997798.674064379</v>
      </c>
      <c r="D103" s="109">
        <f>MIN(F103*(1-C94),E103)</f>
        <v>8.0923767443828236</v>
      </c>
      <c r="E103" s="123">
        <f>PV(C94,D93,0,-F94)</f>
        <v>9.5204432286856751</v>
      </c>
      <c r="F103" s="109">
        <f>(E103+H103)/2</f>
        <v>9.5204432286856751</v>
      </c>
      <c r="H103" s="123">
        <f>PV(C94,D93,0,-I94)</f>
        <v>9.5204432286856751</v>
      </c>
      <c r="I103" s="109">
        <f>PV(C93,D93,0,-I94)</f>
        <v>12.331990388355056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26393820.667401124</v>
      </c>
      <c r="D106" s="109">
        <f>(D100+D103)/2</f>
        <v>12.565670688298365</v>
      </c>
      <c r="E106" s="123">
        <f>(E100+E103)/2</f>
        <v>14.783141986233373</v>
      </c>
      <c r="F106" s="109">
        <f>(F100+F103)/2</f>
        <v>14.783141986233373</v>
      </c>
      <c r="H106" s="123">
        <f>(H100+H103)/2</f>
        <v>14.783141986233373</v>
      </c>
      <c r="I106" s="123">
        <f>(I100+I103)/2</f>
        <v>19.148852685200652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">
        <v>266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2024-12-09T06:11:31Z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