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61F4FBF-4ABA-4A22-B01D-DE5B35CB02C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<sst xmlns="http://schemas.openxmlformats.org/spreadsheetml/2006/main" count="390" uniqueCount="269">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</sst>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791575204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2.7406016655081428E-2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0</v>
      </c>
      <c r="D72" s="248">
        <v>0</v>
      </c>
      <c r="E72" s="249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207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0710.HK</v>
      </c>
      <c r="D3" s="278"/>
      <c r="E3" s="87"/>
      <c r="F3" s="3" t="s">
        <v>1</v>
      </c>
      <c r="G3" s="132">
        <v>6.18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京东方精电</v>
      </c>
      <c r="D4" s="280"/>
      <c r="E4" s="87"/>
      <c r="F4" s="3" t="s">
        <v>2</v>
      </c>
      <c r="G4" s="283">
        <f>Inputs!C10</f>
        <v>791575204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4891.9347607199998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0.8649634921177769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1.0345294208611351</v>
      </c>
    </row>
    <row r="24" spans="1:8" ht="15.75" customHeight="1" x14ac:dyDescent="0.4">
      <c r="B24" s="137" t="s">
        <v>170</v>
      </c>
      <c r="C24" s="171">
        <f>Fin_Analysis!I81</f>
        <v>2.3437755566327548E-3</v>
      </c>
      <c r="F24" s="140" t="s">
        <v>259</v>
      </c>
      <c r="G24" s="268">
        <f>G3/(Fin_Analysis!H86*G7)</f>
        <v>-12.410349097386508</v>
      </c>
    </row>
    <row r="25" spans="1:8" ht="15.75" customHeight="1" x14ac:dyDescent="0.4">
      <c r="B25" s="137" t="s">
        <v>243</v>
      </c>
      <c r="C25" s="171">
        <f>Fin_Analysis!I82</f>
        <v>2.8284501268352451E-2</v>
      </c>
      <c r="F25" s="140" t="s">
        <v>174</v>
      </c>
      <c r="G25" s="171">
        <f>Fin_Analysis!I88</f>
        <v>-0.3401182340583494</v>
      </c>
    </row>
    <row r="26" spans="1:8" ht="15.75" customHeight="1" x14ac:dyDescent="0.4">
      <c r="B26" s="138" t="s">
        <v>173</v>
      </c>
      <c r="C26" s="171">
        <f>Fin_Analysis!I83</f>
        <v>-4.5622430706520396E-2</v>
      </c>
      <c r="F26" s="141" t="s">
        <v>193</v>
      </c>
      <c r="G26" s="178">
        <f>Fin_Analysis!H88*Exchange_Rate/G3</f>
        <v>2.7406016655081428E-2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0.26208484876421134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0.16754538114511558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0.59135389531206572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-0.77207647428568138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-5.1373316159101103E-2</v>
      </c>
      <c r="D55" s="153">
        <f t="shared" si="45"/>
        <v>-1.1169453834400038E-2</v>
      </c>
      <c r="E55" s="153">
        <f t="shared" si="45"/>
        <v>-1.4575672697826926E-3</v>
      </c>
      <c r="F55" s="153">
        <f t="shared" si="45"/>
        <v>-1.4739383223963821E-2</v>
      </c>
      <c r="G55" s="153">
        <f t="shared" si="45"/>
        <v>3.0150190540237615E-2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1.4900249344048726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-167910.97624395197</v>
      </c>
      <c r="E6" s="56">
        <f>1-D6/D3</f>
        <v>1.0380162425028565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1.0345294208611351</v>
      </c>
      <c r="E53" s="88">
        <f>IF(C53=0,0,MAX(C53,C53*Dashboard!G23))</f>
        <v>61443.805893205397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635839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95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232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160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-8.0577910593231397E-2</v>
      </c>
      <c r="D87" s="209"/>
      <c r="E87" s="262">
        <f>E86*Exchange_Rate/Dashboard!G3</f>
        <v>-8.0577910593231397E-2</v>
      </c>
      <c r="F87" s="209"/>
      <c r="H87" s="262">
        <f>H86*Exchange_Rate/Dashboard!G3</f>
        <v>-8.0577910593231397E-2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221</v>
      </c>
      <c r="C89" s="261">
        <f>C88*Exchange_Rate/Dashboard!G3</f>
        <v>2.7406016655081428E-2</v>
      </c>
      <c r="D89" s="209"/>
      <c r="E89" s="261">
        <f>E88*Exchange_Rate/Dashboard!G3</f>
        <v>2.7406016655081428E-2</v>
      </c>
      <c r="F89" s="209"/>
      <c r="H89" s="261">
        <f>H88*Exchange_Rate/Dashboard!G3</f>
        <v>2.7406016655081428E-2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-4.544087113143739</v>
      </c>
      <c r="H93" s="87" t="s">
        <v>209</v>
      </c>
      <c r="I93" s="144">
        <f>FV(H87,D93,0,-(H86/(C93-D94)))*Exchange_Rate</f>
        <v>-4.544087113143739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2.6928515928878847</v>
      </c>
      <c r="H94" s="87" t="s">
        <v>210</v>
      </c>
      <c r="I94" s="144">
        <f>FV(H89,D93,0,-(H88/(C93-D94)))*Exchange_Rate</f>
        <v>2.6928515928878847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-1788338.096253989</v>
      </c>
      <c r="D97" s="213"/>
      <c r="E97" s="123">
        <f>PV(C94,D93,0,-F93)</f>
        <v>-2.2592143958238351</v>
      </c>
      <c r="F97" s="213"/>
      <c r="H97" s="123">
        <f>PV(C94,D93,0,-I93)</f>
        <v>-2.2592143958238351</v>
      </c>
      <c r="I97" s="123">
        <f>PV(C93,D93,0,-I93)</f>
        <v>-2.9263984402099257</v>
      </c>
      <c r="K97" s="24"/>
    </row>
    <row r="98" spans="2:11" ht="15" customHeight="1" x14ac:dyDescent="0.4">
      <c r="B98" s="28" t="s">
        <v>144</v>
      </c>
      <c r="C98" s="91">
        <f>E53*Exchange_Rate</f>
        <v>65781.840708872332</v>
      </c>
      <c r="D98" s="213"/>
      <c r="E98" s="213"/>
      <c r="F98" s="213"/>
      <c r="H98" s="123">
        <f>C98*Data!$C$4/Common_Shares</f>
        <v>8.3102452396768528E-2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-1854119.9369628613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1059779.2188424778</v>
      </c>
      <c r="D103" s="109">
        <f>MIN(F103*(1-C94),E103)</f>
        <v>1.1379996890555784</v>
      </c>
      <c r="E103" s="123">
        <f>PV(C94,D93,0,-F94)</f>
        <v>1.338823163594798</v>
      </c>
      <c r="F103" s="109">
        <f>(E103+H103)/2</f>
        <v>1.338823163594798</v>
      </c>
      <c r="H103" s="123">
        <f>PV(C94,D93,0,-I94)</f>
        <v>1.338823163594798</v>
      </c>
      <c r="I103" s="109">
        <f>PV(C93,D93,0,-I94)</f>
        <v>1.7342001825515285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529889.60942123889</v>
      </c>
      <c r="D106" s="109">
        <f>(D100+D103)/2</f>
        <v>0.56899984452778918</v>
      </c>
      <c r="E106" s="123">
        <f>(E100+E103)/2</f>
        <v>0.66941158179739901</v>
      </c>
      <c r="F106" s="109">
        <f>(F100+F103)/2</f>
        <v>0.66941158179739901</v>
      </c>
      <c r="H106" s="123">
        <f>(H100+H103)/2</f>
        <v>0.66941158179739901</v>
      </c>
      <c r="I106" s="123">
        <f>(I100+I103)/2</f>
        <v>0.86710009127576426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