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BE151BE-7416-4140-B57A-EFA9844EA9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D53" i="4"/>
  <c r="C52" i="4"/>
  <c r="D50" i="4"/>
  <c r="C50" i="4"/>
  <c r="C48" i="4"/>
  <c r="D43" i="4"/>
  <c r="D35" i="4"/>
  <c r="D33" i="4"/>
  <c r="C33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<sst xmlns="http://schemas.openxmlformats.org/spreadsheetml/2006/main" count="390" uniqueCount="267">
  <si>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</si>
  <si>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</si>
  <si>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</si>
  <si>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</si>
  <si>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</si>
  <si>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</si>
  <si>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</si>
  <si>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</si>
  <si>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</si>
  <si>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</si>
  <si>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</si>
  <si>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</si>
  <si>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</si>
  <si>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</si>
  <si>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</si>
  <si>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</si>
  <si>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</si>
  <si>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</si>
  <si>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</si>
  <si>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</si>
  <si>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</si>
  <si>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</si>
  <si>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</si>
  <si>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</si>
  <si>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</si>
  <si>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</si>
  <si>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</si>
  <si>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</si>
  <si>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</si>
  <si>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</si>
  <si>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</si>
  <si>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</si>
  <si>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</si>
  <si>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</si>
  <si>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</si>
  <si>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</si>
  <si>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</si>
  <si>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</si>
  <si>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</si>
  <si>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</si>
  <si>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</si>
  <si>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</si>
  <si>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</si>
  <si>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</si>
  <si>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</si>
  <si>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</si>
  <si>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</si>
  <si>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</si>
  <si>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</si>
  <si>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</si>
  <si>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</si>
  <si>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</si>
  <si>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</si>
  <si>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</si>
  <si>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</si>
  <si>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</si>
  <si>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</si>
  <si>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</si>
  <si>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</si>
  <si>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</si>
  <si>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</si>
  <si>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</si>
  <si>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</si>
  <si>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</si>
  <si>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</si>
  <si>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</si>
  <si>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</si>
  <si>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</si>
  <si>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</si>
  <si>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</si>
  <si>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</si>
  <si>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</si>
  <si>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</si>
  <si>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</si>
  <si>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</si>
  <si>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</si>
  <si>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</si>
  <si>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</si>
  <si>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</si>
  <si>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</si>
  <si>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</si>
  <si>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</si>
  <si>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</si>
  <si>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</si>
  <si>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</si>
  <si>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</si>
  <si>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</si>
  <si>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</si>
  <si>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</si>
  <si>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</si>
  <si>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</si>
  <si>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</si>
  <si>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</si>
  <si>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</si>
  <si>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</si>
  <si>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</si>
  <si>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</si>
  <si>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</si>
  <si>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</si>
  <si>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</si>
  <si>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</si>
  <si>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</si>
  <si>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</si>
  <si>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</si>
  <si>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</si>
  <si>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</si>
  <si>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</si>
  <si>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</si>
  <si>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</si>
  <si>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</si>
  <si>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</si>
  <si>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</si>
  <si>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</si>
  <si>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</si>
  <si>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</si>
  <si>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</si>
  <si>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</si>
  <si>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</si>
  <si>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</si>
  <si>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</si>
  <si>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</si>
  <si>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</si>
  <si>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</si>
  <si>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</si>
  <si>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</si>
  <si>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</si>
  <si>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</si>
  <si>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</si>
  <si>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</si>
  <si>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</si>
  <si>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</si>
  <si>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</si>
  <si>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</si>
  <si>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</si>
  <si>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</si>
  <si>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</si>
  <si>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</si>
  <si>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</si>
  <si>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</si>
  <si>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</si>
  <si>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</si>
  <si>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</si>
  <si>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</si>
  <si>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</si>
  <si>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</si>
  <si>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</si>
  <si>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</si>
  <si>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</si>
  <si>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</si>
  <si>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</si>
  <si>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</si>
  <si>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</si>
  <si>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</si>
  <si>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</si>
  <si>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</si>
  <si>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</si>
  <si>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</si>
  <si>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</si>
  <si>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</si>
  <si>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</si>
  <si>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</si>
  <si>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</si>
  <si>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</si>
  <si>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</si>
  <si>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</si>
  <si>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</si>
  <si>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</si>
  <si>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</si>
  <si>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</si>
  <si>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</si>
  <si>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</si>
  <si>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</si>
  <si>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</si>
  <si>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</si>
  <si>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</si>
  <si>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</si>
  <si>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</si>
  <si>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</si>
  <si>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</si>
  <si>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</si>
  <si>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</si>
  <si>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</si>
  <si>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</si>
  <si>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</si>
  <si>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</si>
  <si>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</si>
  <si>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</si>
  <si>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</si>
  <si>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</si>
  <si>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</si>
  <si>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</si>
  <si>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</si>
  <si>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</si>
  <si>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</si>
  <si>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</si>
  <si>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</si>
  <si>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</si>
  <si>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</si>
  <si>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</si>
  <si>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</si>
  <si>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</si>
  <si>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</si>
  <si>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</si>
  <si>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</si>
  <si>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</si>
  <si>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</si>
  <si>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</si>
  <si>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</si>
  <si>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</si>
  <si>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</si>
  <si>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</si>
  <si>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</si>
  <si>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</si>
  <si>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</si>
  <si>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</si>
  <si>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</si>
  <si>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</si>
  <si>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</si>
  <si>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</si>
  <si>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</si>
  <si>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</si>
  <si>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</si>
  <si>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</si>
  <si>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</si>
  <si>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</si>
  <si>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</si>
  <si>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</si>
  <si>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</si>
  <si>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</si>
  <si>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</si>
  <si>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</si>
  <si>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</si>
  <si>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</si>
  <si>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</si>
  <si>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</si>
  <si>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</si>
  <si>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</si>
  <si>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</si>
  <si>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</si>
  <si>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</si>
  <si>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</si>
  <si>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</si>
  <si>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</si>
  <si>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</si>
  <si>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</si>
  <si>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</si>
  <si>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</si>
  <si>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</si>
  <si>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</si>
  <si>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</si>
  <si>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</si>
  <si>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</si>
  <si>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</si>
  <si>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</si>
  <si>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</si>
  <si>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</si>
  <si>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</si>
  <si>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</si>
  <si>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</si>
  <si>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</si>
  <si>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</si>
  <si>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0762.HK</t>
  </si>
  <si>
    <t>中国联通</t>
  </si>
  <si>
    <t>C0010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</si>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</sst>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0.73743481563190261</c:v>
                </c:pt>
                <c:pt idx="2">
                  <c:v>7.0138335341758879E-4</c:v>
                </c:pt>
                <c:pt idx="3">
                  <c:v>0</c:v>
                </c:pt>
                <c:pt idx="4">
                  <c:v>5.3167363129601151E-3</c:v>
                </c:pt>
                <c:pt idx="5">
                  <c:v>0.22719184534497058</c:v>
                </c:pt>
                <c:pt idx="6">
                  <c:v>2.9355219356749174E-2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30598124345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247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257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246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0762.HK</v>
      </c>
      <c r="D3" s="278"/>
      <c r="E3" s="87"/>
      <c r="F3" s="3" t="s">
        <v>1</v>
      </c>
      <c r="G3" s="132">
        <v>6.69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中国联通</v>
      </c>
      <c r="D4" s="280"/>
      <c r="E4" s="87"/>
      <c r="F4" s="3" t="s">
        <v>2</v>
      </c>
      <c r="G4" s="283">
        <f>Inputs!C10</f>
        <v>30598124345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204701.45186805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0.73743481563190261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7.0138335341758879E-4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0.13816499603239679</v>
      </c>
    </row>
    <row r="24" spans="1:8" ht="15.75" customHeight="1" x14ac:dyDescent="0.4">
      <c r="B24" s="137" t="s">
        <v>170</v>
      </c>
      <c r="C24" s="171">
        <f>Fin_Analysis!I81</f>
        <v>5.3167363129601151E-3</v>
      </c>
      <c r="F24" s="140" t="s">
        <v>260</v>
      </c>
      <c r="G24" s="268">
        <f>G3/(Fin_Analysis!H86*G7)</f>
        <v>23.308110187347307</v>
      </c>
    </row>
    <row r="25" spans="1:8" ht="15.75" customHeight="1" x14ac:dyDescent="0.4">
      <c r="B25" s="137" t="s">
        <v>243</v>
      </c>
      <c r="C25" s="171">
        <f>Fin_Analysis!I82</f>
        <v>0.22719184534497058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2.9355219356749174E-2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1.9498086364144305</v>
      </c>
      <c r="D29" s="129">
        <f>G29*(1+G20)</f>
        <v>3.4684083814889113</v>
      </c>
      <c r="E29" s="87"/>
      <c r="F29" s="131">
        <f>IF(Fin_Analysis!C108="Profit",Fin_Analysis!F100,IF(Fin_Analysis!C108="Dividend",Fin_Analysis!F103,Fin_Analysis!F106))</f>
        <v>2.2938925134287418</v>
      </c>
      <c r="G29" s="274">
        <f>IF(Fin_Analysis!C108="Profit",Fin_Analysis!I100,IF(Fin_Analysis!C108="Dividend",Fin_Analysis!I103,Fin_Analysis!I106))</f>
        <v>3.0160072882512274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0.27090663639267087</v>
      </c>
      <c r="D50" s="156">
        <f t="shared" si="41"/>
        <v>0.19278534078615217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3.3859639234883804E-2</v>
      </c>
      <c r="D51" s="153">
        <f t="shared" si="42"/>
        <v>3.3881401009736745E-2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0.31546091797268211</v>
      </c>
      <c r="D53" s="156">
        <f t="shared" ref="D53:M53" si="43">IF(D36="","",(D27-D36)/D27)</f>
        <v>0.32452750272625946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0.11432702693285954</v>
      </c>
      <c r="D54" s="157">
        <f t="shared" si="44"/>
        <v>9.8308948776238456E-2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0.18111724011824573</v>
      </c>
      <c r="D55" s="153">
        <f t="shared" si="45"/>
        <v>0.10820870940114637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0.96378562214143304</v>
      </c>
      <c r="D56" s="158">
        <f t="shared" si="46"/>
        <v>0.89175655474295745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-25347.725539761806</v>
      </c>
      <c r="E6" s="56">
        <f>1-D6/D3</f>
        <v>1.0183165643133576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172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232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125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160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4.2903521219101029E-2</v>
      </c>
      <c r="D87" s="209"/>
      <c r="E87" s="262">
        <f>E86*Exchange_Rate/Dashboard!G3</f>
        <v>4.2903521219101029E-2</v>
      </c>
      <c r="F87" s="209"/>
      <c r="H87" s="262">
        <f>H86*Exchange_Rate/Dashboard!G3</f>
        <v>4.2903521219101029E-2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4.9182118039121931</v>
      </c>
      <c r="H93" s="87" t="s">
        <v>209</v>
      </c>
      <c r="I93" s="144">
        <f>FV(H87,D93,0,-(H86/(C93-D94)))*Exchange_Rate</f>
        <v>4.9182118039121931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74819.16054810732</v>
      </c>
      <c r="D97" s="213"/>
      <c r="E97" s="123">
        <f>PV(C94,D93,0,-F93)</f>
        <v>2.4452204881745772</v>
      </c>
      <c r="F97" s="213"/>
      <c r="H97" s="123">
        <f>PV(C94,D93,0,-I93)</f>
        <v>2.4452204881745772</v>
      </c>
      <c r="I97" s="123">
        <f>PV(C93,D93,0,-I93)</f>
        <v>3.1673352629970628</v>
      </c>
      <c r="K97" s="24"/>
    </row>
    <row r="98" spans="2:11" ht="15" customHeight="1" x14ac:dyDescent="0.4">
      <c r="B98" s="28" t="s">
        <v>144</v>
      </c>
      <c r="C98" s="91">
        <f>E53*Exchange_Rate</f>
        <v>4630.3521881500874</v>
      </c>
      <c r="D98" s="213"/>
      <c r="E98" s="213"/>
      <c r="F98" s="213"/>
      <c r="H98" s="123">
        <f>C98*Data!$C$4/Common_Shares</f>
        <v>0.15132797474583526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70188.808359957227</v>
      </c>
      <c r="D100" s="109">
        <f>MIN(F100*(1-C94),E100)</f>
        <v>1.9498086364144305</v>
      </c>
      <c r="E100" s="109">
        <f>MAX(E97-H98+E99,0)</f>
        <v>2.2938925134287418</v>
      </c>
      <c r="F100" s="109">
        <f>(E100+H100)/2</f>
        <v>2.2938925134287418</v>
      </c>
      <c r="H100" s="109">
        <f>MAX(C100*Data!$C$4/Common_Shares,0)</f>
        <v>2.2938925134287418</v>
      </c>
      <c r="I100" s="109">
        <f>MAX(I97-H98+H99,0)</f>
        <v>3.0160072882512274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35094.404179978614</v>
      </c>
      <c r="D106" s="109">
        <f>(D100+D103)/2</f>
        <v>0.97490431820721524</v>
      </c>
      <c r="E106" s="123">
        <f>(E100+E103)/2</f>
        <v>1.1469462567143709</v>
      </c>
      <c r="F106" s="109">
        <f>(F100+F103)/2</f>
        <v>1.1469462567143709</v>
      </c>
      <c r="H106" s="123">
        <f>(H100+H103)/2</f>
        <v>1.1469462567143709</v>
      </c>
      <c r="I106" s="123">
        <f>(I100+I103)/2</f>
        <v>1.5080036441256137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