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2400B87-BBD3-4948-AF2B-F486D2407A6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53" i="4" l="1"/>
  <c r="D33" i="2"/>
  <c r="C43" i="1"/>
  <c r="C40" i="1"/>
  <c r="C39" i="1"/>
  <c r="C37" i="1"/>
  <c r="C36" i="1"/>
  <c r="C98" i="4"/>
  <c r="F98" i="4" s="1"/>
  <c r="E98" i="4" s="1"/>
  <c r="D93" i="3"/>
  <c r="C93" i="4"/>
  <c r="C92" i="4"/>
  <c r="C91" i="4"/>
  <c r="F91" i="4" l="1"/>
  <c r="E91" i="4"/>
  <c r="I12" i="2"/>
  <c r="J12" i="2"/>
  <c r="K12" i="2"/>
  <c r="L12" i="2"/>
  <c r="M12" i="2"/>
  <c r="H88" i="3" l="1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2" i="4" l="1"/>
  <c r="F92" i="4"/>
  <c r="E93" i="4"/>
  <c r="F93" i="4"/>
  <c r="I103" i="3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<sst xmlns="http://schemas.openxmlformats.org/spreadsheetml/2006/main" count="392" uniqueCount="269">
  <si>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</si>
  <si>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</si>
  <si>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</si>
  <si>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</si>
  <si>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</si>
  <si>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</si>
  <si>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</si>
  <si>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</si>
  <si>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</si>
  <si>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</si>
  <si>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</si>
  <si>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</si>
  <si>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</si>
  <si>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</si>
  <si>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</si>
  <si>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</si>
  <si>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</si>
  <si>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</si>
  <si>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</si>
  <si>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</si>
  <si>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</si>
  <si>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</si>
  <si>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</si>
  <si>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</si>
  <si>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</si>
  <si>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</si>
  <si>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</si>
  <si>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</si>
  <si>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</si>
  <si>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</si>
  <si>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</si>
  <si>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</si>
  <si>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</si>
  <si>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</si>
  <si>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</si>
  <si>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</si>
  <si>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</si>
  <si>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</si>
  <si>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</si>
  <si>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</si>
  <si>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</si>
  <si>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</si>
  <si>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</si>
  <si>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</si>
  <si>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</si>
  <si>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</si>
  <si>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</si>
  <si>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</si>
  <si>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</si>
  <si>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</si>
  <si>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</si>
  <si>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</si>
  <si>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</si>
  <si>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</si>
  <si>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</si>
  <si>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</si>
  <si>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</si>
  <si>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</si>
  <si>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</si>
  <si>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</si>
  <si>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</si>
  <si>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</si>
  <si>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</si>
  <si>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</si>
  <si>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</si>
  <si>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</si>
  <si>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</si>
  <si>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</si>
  <si>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</si>
  <si>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</si>
  <si>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</si>
  <si>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</si>
  <si>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</si>
  <si>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</si>
  <si>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</si>
  <si>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</si>
  <si>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</si>
  <si>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</si>
  <si>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</si>
  <si>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</si>
  <si>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</si>
  <si>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</si>
  <si>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</si>
  <si>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</si>
  <si>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</si>
  <si>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</si>
  <si>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</si>
  <si>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</si>
  <si>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</si>
  <si>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</si>
  <si>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</si>
  <si>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</si>
  <si>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</si>
  <si>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</si>
  <si>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</si>
  <si>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</si>
  <si>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</si>
  <si>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</si>
  <si>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</si>
  <si>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</si>
  <si>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</si>
  <si>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</si>
  <si>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</si>
  <si>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</si>
  <si>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</si>
  <si>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</si>
  <si>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</si>
  <si>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</si>
  <si>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</si>
  <si>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</si>
  <si>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</si>
  <si>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</si>
  <si>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</si>
  <si>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</si>
  <si>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</si>
  <si>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</si>
  <si>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</si>
  <si>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</si>
  <si>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</si>
  <si>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</si>
  <si>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</si>
  <si>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</si>
  <si>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</si>
  <si>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</si>
  <si>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</si>
  <si>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</si>
  <si>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</si>
  <si>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</si>
  <si>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</si>
  <si>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</si>
  <si>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</si>
  <si>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</si>
  <si>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</si>
  <si>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</si>
  <si>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</si>
  <si>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</si>
  <si>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</si>
  <si>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</si>
  <si>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</si>
  <si>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</si>
  <si>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</si>
  <si>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</si>
  <si>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</si>
  <si>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</si>
  <si>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</si>
  <si>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</si>
  <si>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</si>
  <si>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</si>
  <si>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</si>
  <si>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</si>
  <si>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</si>
  <si>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</si>
  <si>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</si>
  <si>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</si>
  <si>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</si>
  <si>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</si>
  <si>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</si>
  <si>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</si>
  <si>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</si>
  <si>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</si>
  <si>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</si>
  <si>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</si>
  <si>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</si>
  <si>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</si>
  <si>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</si>
  <si>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</si>
  <si>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</si>
  <si>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</si>
  <si>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</si>
  <si>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</si>
  <si>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</si>
  <si>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</si>
  <si>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</si>
  <si>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</si>
  <si>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</si>
  <si>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</si>
  <si>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</si>
  <si>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</si>
  <si>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</si>
  <si>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</si>
  <si>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</si>
  <si>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</si>
  <si>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</si>
  <si>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</si>
  <si>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</si>
  <si>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</si>
  <si>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</si>
  <si>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</si>
  <si>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</si>
  <si>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</si>
  <si>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</si>
  <si>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</si>
  <si>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</si>
  <si>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</si>
  <si>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</si>
  <si>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</si>
  <si>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</si>
  <si>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</si>
  <si>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</si>
  <si>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</si>
  <si>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</si>
  <si>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</si>
  <si>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</si>
  <si>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</si>
  <si>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</si>
  <si>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</si>
  <si>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</si>
  <si>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</si>
  <si>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</si>
  <si>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</si>
  <si>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</si>
  <si>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</si>
  <si>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</si>
  <si>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</si>
  <si>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</si>
  <si>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</si>
  <si>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</si>
  <si>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</si>
  <si>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</si>
  <si>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</si>
  <si>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</si>
  <si>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</si>
  <si>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</si>
  <si>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</si>
  <si>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</si>
  <si>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</si>
  <si>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</si>
  <si>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</si>
  <si>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</si>
  <si>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</si>
  <si>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</si>
  <si>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</si>
  <si>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</si>
  <si>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</si>
  <si>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</si>
  <si>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</si>
  <si>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</si>
  <si>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</si>
  <si>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</si>
  <si>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</si>
  <si>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</si>
  <si>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</si>
  <si>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</si>
  <si>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</si>
  <si>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</si>
  <si>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</si>
  <si>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</si>
  <si>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</si>
  <si>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</si>
  <si>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</si>
  <si>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</si>
  <si>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</si>
  <si>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</si>
  <si>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</si>
  <si>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</si>
  <si>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</si>
  <si>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</si>
  <si>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</si>
  <si>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</si>
  <si>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</si>
  <si>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</si>
  <si>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</si>
  <si>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</si>
  <si>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</si>
  <si>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</si>
  <si>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</si>
  <si>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</si>
  <si>
    <t>HKD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</si>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</sst>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D13" sqref="D13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260</v>
      </c>
    </row>
    <row r="5" spans="1:5" ht="13.9" x14ac:dyDescent="0.4">
      <c r="B5" s="141" t="s">
        <v>196</v>
      </c>
      <c r="C5" s="191" t="s">
        <v>261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262</v>
      </c>
    </row>
    <row r="10" spans="1:5" ht="13.9" x14ac:dyDescent="0.4">
      <c r="B10" s="140" t="s">
        <v>218</v>
      </c>
      <c r="C10" s="193">
        <v>777416974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0.16500000000000001</v>
      </c>
      <c r="D16" s="24" t="s">
        <v>263</v>
      </c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264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0.14117647058823529</v>
      </c>
      <c r="D45" s="152">
        <f>IF(D44="","",D44*Exchange_Rate/Dashboard!$G$3)</f>
        <v>0.1647058823529412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266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0.06</v>
      </c>
      <c r="D98" s="266"/>
      <c r="E98" s="254">
        <f>F98</f>
        <v>0.06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0831.HK</v>
      </c>
      <c r="D3" s="278"/>
      <c r="E3" s="87"/>
      <c r="F3" s="3" t="s">
        <v>1</v>
      </c>
      <c r="G3" s="132">
        <v>0.42499999999999999</v>
      </c>
      <c r="H3" s="134" t="s">
        <v>267</v>
      </c>
    </row>
    <row r="4" spans="1:10" ht="15.75" customHeight="1" x14ac:dyDescent="0.4">
      <c r="B4" s="35" t="s">
        <v>196</v>
      </c>
      <c r="C4" s="279" t="str">
        <f>Inputs!C5</f>
        <v>利亞零售</v>
      </c>
      <c r="D4" s="280"/>
      <c r="E4" s="87"/>
      <c r="F4" s="3" t="s">
        <v>3</v>
      </c>
      <c r="G4" s="283">
        <f>Inputs!C10</f>
        <v>777416974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330.40221394999998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0.46570281556597115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3.9525516276755275E-2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259</v>
      </c>
      <c r="G24" s="268">
        <f>G3/(Fin_Analysis!H86*G7)</f>
        <v>-2.3801551567653765</v>
      </c>
    </row>
    <row r="25" spans="1:8" ht="15.75" customHeight="1" x14ac:dyDescent="0.4">
      <c r="B25" s="137" t="s">
        <v>244</v>
      </c>
      <c r="C25" s="171">
        <f>Fin_Analysis!I82</f>
        <v>0.11560295610891069</v>
      </c>
      <c r="F25" s="140" t="s">
        <v>175</v>
      </c>
      <c r="G25" s="171">
        <f>Fin_Analysis!I88</f>
        <v>-0.33602190448452368</v>
      </c>
    </row>
    <row r="26" spans="1:8" ht="15.75" customHeight="1" x14ac:dyDescent="0.4">
      <c r="B26" s="138" t="s">
        <v>174</v>
      </c>
      <c r="C26" s="171">
        <f>Fin_Analysis!I83</f>
        <v>-0.11179283029271934</v>
      </c>
      <c r="F26" s="141" t="s">
        <v>194</v>
      </c>
      <c r="G26" s="178">
        <f>Fin_Analysis!H88*Exchange_Rate/G3</f>
        <v>0.14117647058823529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0" zoomScaleNormal="100" workbookViewId="0">
      <pane xSplit="2" topLeftCell="C1" activePane="topRight" state="frozen"/>
      <selection activeCell="A4" sqref="A4"/>
      <selection pane="topRight" activeCell="C48" sqref="C48:D4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0.46570281556597115</v>
      </c>
      <c r="D42" s="156">
        <f t="shared" si="34"/>
        <v>0.49445813144625883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0.49096154234108225</v>
      </c>
      <c r="D43" s="153">
        <f t="shared" si="35"/>
        <v>0.45503751544914633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3.9525516276755275E-2</v>
      </c>
      <c r="D44" s="153">
        <f t="shared" si="36"/>
        <v>2.6215013835872644E-2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0.11560295610891069</v>
      </c>
      <c r="D47" s="153">
        <f t="shared" ref="D47:M47" si="39">IF(D6="","",ABS(MAX(D21,0)-MAX(D19,0))/D6)</f>
        <v>8.8749193363156106E-2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-0.11179283029271934</v>
      </c>
      <c r="D48" s="153">
        <f t="shared" si="40"/>
        <v>-6.445985409443393E-2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F98" sqref="F9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96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165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161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-0.42014067745020328</v>
      </c>
      <c r="D87" s="209"/>
      <c r="E87" s="262">
        <f>E86*Exchange_Rate/Dashboard!G3</f>
        <v>-0.42014067745020328</v>
      </c>
      <c r="F87" s="209"/>
      <c r="H87" s="262">
        <f>H86*Exchange_Rate/Dashboard!G3</f>
        <v>-0.42014067745020328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0.06</v>
      </c>
      <c r="D88" s="166">
        <f>C88/C86</f>
        <v>-0.33602190448452368</v>
      </c>
      <c r="E88" s="170">
        <v>0</v>
      </c>
      <c r="F88" s="166">
        <f>E88/E86</f>
        <v>0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222</v>
      </c>
      <c r="C89" s="261">
        <f>C88*Exchange_Rate/Dashboard!G3</f>
        <v>0.14117647058823529</v>
      </c>
      <c r="D89" s="209"/>
      <c r="E89" s="261">
        <f>E88*Exchange_Rate/Dashboard!G3</f>
        <v>0</v>
      </c>
      <c r="F89" s="209"/>
      <c r="H89" s="261">
        <f>H88*Exchange_Rate/Dashboard!G3</f>
        <v>0.14117647058823529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-0.17735888301693353</v>
      </c>
      <c r="H93" s="87" t="s">
        <v>210</v>
      </c>
      <c r="I93" s="144">
        <f>FV(H87,D93,0,-(H86/(C93-D94)))*Exchange_Rate</f>
        <v>-0.17735888301693353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1.7594274264879552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-68551.626237219243</v>
      </c>
      <c r="D97" s="213"/>
      <c r="E97" s="123">
        <f>PV(C94,D93,0,-F93)</f>
        <v>-8.8178710434510324E-2</v>
      </c>
      <c r="F97" s="213"/>
      <c r="H97" s="123">
        <f>PV(C94,D93,0,-I93)</f>
        <v>-8.8178710434510324E-2</v>
      </c>
      <c r="I97" s="123">
        <f>PV(C93,D93,0,-I93)</f>
        <v>-0.11740965684133238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-68551.626237219243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680042.68678552355</v>
      </c>
      <c r="D103" s="109">
        <f>MIN(F103*(1-C94),E103)</f>
        <v>0</v>
      </c>
      <c r="E103" s="123">
        <f>PV(C94,D93,0,-F94)</f>
        <v>0</v>
      </c>
      <c r="F103" s="109">
        <f>(E103+H103)/2</f>
        <v>0.43737319194777674</v>
      </c>
      <c r="H103" s="123">
        <f>PV(C94,D93,0,-I94)</f>
        <v>0.87474638389555348</v>
      </c>
      <c r="I103" s="109">
        <f>PV(C93,D93,0,-I94)</f>
        <v>1.1647218727773365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0.21868659597388837</v>
      </c>
      <c r="H106" s="123">
        <f>(H100+H103)/2</f>
        <v>0.43737319194777674</v>
      </c>
      <c r="I106" s="123">
        <f>(I100+I103)/2</f>
        <v>0.58236093638866826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">
        <v>268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