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526B79FA-9C6C-493B-A6F0-75A27BF18246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7" i="4"/>
  <c r="E95" i="4"/>
  <c r="E93" i="4"/>
  <c r="F92" i="4"/>
  <c r="E92" i="4"/>
  <c r="F91" i="4"/>
  <c r="F96" i="4" s="1"/>
  <c r="E91" i="4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3" i="4" l="1"/>
  <c r="F94" i="4"/>
  <c r="F95" i="4"/>
  <c r="D56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<sst xmlns="http://schemas.openxmlformats.org/spreadsheetml/2006/main" count="390" uniqueCount="269">
  <si>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</si>
  <si>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</si>
  <si>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</si>
  <si>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</si>
  <si>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</si>
  <si>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</si>
  <si>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</si>
  <si>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</si>
  <si>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</si>
  <si>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</si>
  <si>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</si>
  <si>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</si>
  <si>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</si>
  <si>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</si>
  <si>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</si>
  <si>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</si>
  <si>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</si>
  <si>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</si>
  <si>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</si>
  <si>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</si>
  <si>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</si>
  <si>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</si>
  <si>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</si>
  <si>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</si>
  <si>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</si>
  <si>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</si>
  <si>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</si>
  <si>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</si>
  <si>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</si>
  <si>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</si>
  <si>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</si>
  <si>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</si>
  <si>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</si>
  <si>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</si>
  <si>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</si>
  <si>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</si>
  <si>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</si>
  <si>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</si>
  <si>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</si>
  <si>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</si>
  <si>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</si>
  <si>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</si>
  <si>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</si>
  <si>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</si>
  <si>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</si>
  <si>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</si>
  <si>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</si>
  <si>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</si>
  <si>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</si>
  <si>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</si>
  <si>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</si>
  <si>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</si>
  <si>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</si>
  <si>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</si>
  <si>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</si>
  <si>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</si>
  <si>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</si>
  <si>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</si>
  <si>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</si>
  <si>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</si>
  <si>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</si>
  <si>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</si>
  <si>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</si>
  <si>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</si>
  <si>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</si>
  <si>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</si>
  <si>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</si>
  <si>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</si>
  <si>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</si>
  <si>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</si>
  <si>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</si>
  <si>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</si>
  <si>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</si>
  <si>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</si>
  <si>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</si>
  <si>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</si>
  <si>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</si>
  <si>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</si>
  <si>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</si>
  <si>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</si>
  <si>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</si>
  <si>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</si>
  <si>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</si>
  <si>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</si>
  <si>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</si>
  <si>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</si>
  <si>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</si>
  <si>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</si>
  <si>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</si>
  <si>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</si>
  <si>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</si>
  <si>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</si>
  <si>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</si>
  <si>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</si>
  <si>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</si>
  <si>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</si>
  <si>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</si>
  <si>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</si>
  <si>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</si>
  <si>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</si>
  <si>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</si>
  <si>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</si>
  <si>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</si>
  <si>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</si>
  <si>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</si>
  <si>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</si>
  <si>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</si>
  <si>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</si>
  <si>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</si>
  <si>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</si>
  <si>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</si>
  <si>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</si>
  <si>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</si>
  <si>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</si>
  <si>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</si>
  <si>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</si>
  <si>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</si>
  <si>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</si>
  <si>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</si>
  <si>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</si>
  <si>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</si>
  <si>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</si>
  <si>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</si>
  <si>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</si>
  <si>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</si>
  <si>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</si>
  <si>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</si>
  <si>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</si>
  <si>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</si>
  <si>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</si>
  <si>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</si>
  <si>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</si>
  <si>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</si>
  <si>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</si>
  <si>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</si>
  <si>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</si>
  <si>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</si>
  <si>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</si>
  <si>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</si>
  <si>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</si>
  <si>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</si>
  <si>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</si>
  <si>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</si>
  <si>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</si>
  <si>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</si>
  <si>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</si>
  <si>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</si>
  <si>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</si>
  <si>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</si>
  <si>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</si>
  <si>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</si>
  <si>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</si>
  <si>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</si>
  <si>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</si>
  <si>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</si>
  <si>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</si>
  <si>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</si>
  <si>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</si>
  <si>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</si>
  <si>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</si>
  <si>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</si>
  <si>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</si>
  <si>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</si>
  <si>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</si>
  <si>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</si>
  <si>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</si>
  <si>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</si>
  <si>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</si>
  <si>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</si>
  <si>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</si>
  <si>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</si>
  <si>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</si>
  <si>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</si>
  <si>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</si>
  <si>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</si>
  <si>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</si>
  <si>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</si>
  <si>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</si>
  <si>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</si>
  <si>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</si>
  <si>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</si>
  <si>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</si>
  <si>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</si>
  <si>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</si>
  <si>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</si>
  <si>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</si>
  <si>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</si>
  <si>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</si>
  <si>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</si>
  <si>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</si>
  <si>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</si>
  <si>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</si>
  <si>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</si>
  <si>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</si>
  <si>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</si>
  <si>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</si>
  <si>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</si>
  <si>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</si>
  <si>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</si>
  <si>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</si>
  <si>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</si>
  <si>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</si>
  <si>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</si>
  <si>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</si>
  <si>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</si>
  <si>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</si>
  <si>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</si>
  <si>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</si>
  <si>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</si>
  <si>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</si>
  <si>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</si>
  <si>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</si>
  <si>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</si>
  <si>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</si>
  <si>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</si>
  <si>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</si>
  <si>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</si>
  <si>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</si>
  <si>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</si>
  <si>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</si>
  <si>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</si>
  <si>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</si>
  <si>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</si>
  <si>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</si>
  <si>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</si>
  <si>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</si>
  <si>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</si>
  <si>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</si>
  <si>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</si>
  <si>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</si>
  <si>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</si>
  <si>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</si>
  <si>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</si>
  <si>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</si>
  <si>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</si>
  <si>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</si>
  <si>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</si>
  <si>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</si>
  <si>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</si>
  <si>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</si>
  <si>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</si>
  <si>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</si>
  <si>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</si>
  <si>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</si>
  <si>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</si>
  <si>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</si>
  <si>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</si>
  <si>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</si>
  <si>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</si>
  <si>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</si>
  <si>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</si>
  <si>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</si>
  <si>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</si>
  <si>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</si>
  <si>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</si>
  <si>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</si>
  <si>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</si>
  <si>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</si>
  <si>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1398.HK</t>
  </si>
  <si>
    <t>工商银行</t>
  </si>
  <si>
    <t xml:space="preserve">Superior Cycl. </t>
  </si>
  <si>
    <t>C0014</t>
  </si>
  <si>
    <t>CNY</t>
  </si>
  <si>
    <t>CN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</si>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</sst>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1.2012210534502537E-2</c:v>
                </c:pt>
                <c:pt idx="1">
                  <c:v>0.15470436118294414</c:v>
                </c:pt>
                <c:pt idx="2">
                  <c:v>9.7044800044936142E-4</c:v>
                </c:pt>
                <c:pt idx="3">
                  <c:v>0</c:v>
                </c:pt>
                <c:pt idx="4">
                  <c:v>0.48610500800425166</c:v>
                </c:pt>
                <c:pt idx="5">
                  <c:v>0</c:v>
                </c:pt>
                <c:pt idx="6">
                  <c:v>0.34620797227785238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86" sqref="E86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258</v>
      </c>
    </row>
    <row r="5" spans="1:5" ht="13.9" x14ac:dyDescent="0.4">
      <c r="B5" s="141" t="s">
        <v>195</v>
      </c>
      <c r="C5" s="191" t="s">
        <v>259</v>
      </c>
    </row>
    <row r="6" spans="1:5" ht="13.9" x14ac:dyDescent="0.4">
      <c r="B6" s="141" t="s">
        <v>163</v>
      </c>
      <c r="C6" s="189">
        <v>45605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260</v>
      </c>
      <c r="E8" s="267"/>
    </row>
    <row r="9" spans="1:5" ht="13.9" x14ac:dyDescent="0.4">
      <c r="B9" s="140" t="s">
        <v>216</v>
      </c>
      <c r="C9" s="192" t="s">
        <v>261</v>
      </c>
    </row>
    <row r="10" spans="1:5" ht="13.9" x14ac:dyDescent="0.4">
      <c r="B10" s="140" t="s">
        <v>217</v>
      </c>
      <c r="C10" s="193">
        <v>356406257089</v>
      </c>
    </row>
    <row r="11" spans="1:5" ht="13.9" x14ac:dyDescent="0.4">
      <c r="B11" s="140" t="s">
        <v>218</v>
      </c>
      <c r="C11" s="192" t="s">
        <v>262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254</v>
      </c>
      <c r="C15" s="176" t="s">
        <v>263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264</v>
      </c>
      <c r="D17" s="24"/>
    </row>
    <row r="18" spans="2:13" ht="13.9" x14ac:dyDescent="0.4">
      <c r="B18" s="240" t="s">
        <v>238</v>
      </c>
      <c r="C18" s="242" t="s">
        <v>265</v>
      </c>
      <c r="D18" s="24"/>
    </row>
    <row r="19" spans="2:13" ht="13.9" x14ac:dyDescent="0.4">
      <c r="B19" s="240" t="s">
        <v>239</v>
      </c>
      <c r="C19" s="242" t="s">
        <v>265</v>
      </c>
      <c r="D19" s="24"/>
    </row>
    <row r="20" spans="2:13" ht="13.9" x14ac:dyDescent="0.4">
      <c r="B20" s="241" t="s">
        <v>228</v>
      </c>
      <c r="C20" s="242" t="s">
        <v>265</v>
      </c>
      <c r="D20" s="24"/>
    </row>
    <row r="21" spans="2:13" ht="13.9" x14ac:dyDescent="0.4">
      <c r="B21" s="224" t="s">
        <v>231</v>
      </c>
      <c r="C21" s="242" t="s">
        <v>264</v>
      </c>
      <c r="D21" s="24"/>
    </row>
    <row r="22" spans="2:13" ht="78.75" x14ac:dyDescent="0.4">
      <c r="B22" s="226" t="s">
        <v>230</v>
      </c>
      <c r="C22" s="243" t="s">
        <v>266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1542930</v>
      </c>
      <c r="D25" s="149">
        <v>1278674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18534</v>
      </c>
      <c r="D26" s="150">
        <v>16493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238698</v>
      </c>
      <c r="D27" s="150">
        <v>239351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255</v>
      </c>
      <c r="C29" s="150">
        <v>750026</v>
      </c>
      <c r="D29" s="150">
        <v>586689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1123</v>
      </c>
      <c r="D30" s="150">
        <v>978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0.3064+0.1434</f>
        <v>0.44979999999999998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251</v>
      </c>
      <c r="C45" s="152">
        <f>IF(C44="","",C44*Exchange_Rate/Dashboard!$G$3)</f>
        <v>0.10224132220119089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248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>
        <v>3628128</v>
      </c>
      <c r="D48" s="60">
        <v>0.9</v>
      </c>
      <c r="E48" s="112"/>
    </row>
    <row r="49" spans="2:5" ht="13.9" x14ac:dyDescent="0.4">
      <c r="B49" s="1" t="s">
        <v>135</v>
      </c>
      <c r="C49" s="59">
        <v>2171209</v>
      </c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>
        <v>3557823</v>
      </c>
      <c r="D51" s="60">
        <v>0.6</v>
      </c>
      <c r="E51" s="112"/>
    </row>
    <row r="52" spans="2:5" ht="13.9" x14ac:dyDescent="0.4">
      <c r="B52" s="3" t="s">
        <v>43</v>
      </c>
      <c r="C52" s="59">
        <v>9431099</v>
      </c>
      <c r="D52" s="60">
        <v>0.5</v>
      </c>
      <c r="E52" s="112"/>
    </row>
    <row r="53" spans="2:5" ht="13.9" x14ac:dyDescent="0.4">
      <c r="B53" s="1" t="s">
        <v>158</v>
      </c>
      <c r="C53" s="59">
        <v>27228377</v>
      </c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>
        <v>65568</v>
      </c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>
        <v>297776</v>
      </c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>
        <v>97938</v>
      </c>
      <c r="D71" s="60">
        <f>D58</f>
        <v>0.9</v>
      </c>
      <c r="E71" s="112"/>
    </row>
    <row r="72" spans="2:5" ht="14.25" thickBot="1" x14ac:dyDescent="0.45">
      <c r="B72" s="246" t="s">
        <v>75</v>
      </c>
      <c r="C72" s="247">
        <v>638618</v>
      </c>
      <c r="D72" s="248">
        <v>0</v>
      </c>
      <c r="E72" s="249"/>
    </row>
    <row r="73" spans="2:5" ht="13.9" x14ac:dyDescent="0.4">
      <c r="B73" s="3" t="s">
        <v>38</v>
      </c>
      <c r="C73" s="59">
        <v>40496667</v>
      </c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>
        <v>1783937</v>
      </c>
    </row>
    <row r="77" spans="2:5" ht="14.25" thickBot="1" x14ac:dyDescent="0.45">
      <c r="B77" s="80" t="s">
        <v>15</v>
      </c>
      <c r="C77" s="83">
        <v>43252035</v>
      </c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>
        <v>3234661</v>
      </c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249</v>
      </c>
      <c r="C86" s="197">
        <v>5</v>
      </c>
    </row>
    <row r="87" spans="2:8" ht="13.9" x14ac:dyDescent="0.4">
      <c r="B87" s="10" t="s">
        <v>247</v>
      </c>
      <c r="C87" s="236" t="s">
        <v>267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1542930</v>
      </c>
      <c r="D91" s="209"/>
      <c r="E91" s="251">
        <f>C91</f>
        <v>1542930</v>
      </c>
      <c r="F91" s="251">
        <f>C91</f>
        <v>1542930</v>
      </c>
    </row>
    <row r="92" spans="2:8" ht="13.9" x14ac:dyDescent="0.4">
      <c r="B92" s="104" t="s">
        <v>105</v>
      </c>
      <c r="C92" s="77">
        <f>C26</f>
        <v>18534</v>
      </c>
      <c r="D92" s="159">
        <f>C92/C91</f>
        <v>1.2012210534502537E-2</v>
      </c>
      <c r="E92" s="252">
        <f>E91*D92</f>
        <v>18534</v>
      </c>
      <c r="F92" s="252">
        <f>F91*D92</f>
        <v>18534</v>
      </c>
    </row>
    <row r="93" spans="2:8" ht="13.9" x14ac:dyDescent="0.4">
      <c r="B93" s="104" t="s">
        <v>246</v>
      </c>
      <c r="C93" s="77">
        <f>C27+C28</f>
        <v>238698</v>
      </c>
      <c r="D93" s="159">
        <f>C93/C91</f>
        <v>0.15470436118294414</v>
      </c>
      <c r="E93" s="252">
        <f>E91*D93</f>
        <v>238698</v>
      </c>
      <c r="F93" s="252">
        <f>F91*D93</f>
        <v>238698</v>
      </c>
    </row>
    <row r="94" spans="2:8" ht="13.9" x14ac:dyDescent="0.4">
      <c r="B94" s="104" t="s">
        <v>255</v>
      </c>
      <c r="C94" s="77">
        <f>C29</f>
        <v>750026</v>
      </c>
      <c r="D94" s="159">
        <f>C94/C91</f>
        <v>0.48610500800425166</v>
      </c>
      <c r="E94" s="253"/>
      <c r="F94" s="252">
        <f>F91*D94</f>
        <v>750026</v>
      </c>
    </row>
    <row r="95" spans="2:8" ht="13.9" x14ac:dyDescent="0.4">
      <c r="B95" s="28" t="s">
        <v>245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1497.3333333333333</v>
      </c>
      <c r="D97" s="159">
        <f>C97/C91</f>
        <v>9.7044800044936142E-4</v>
      </c>
      <c r="E97" s="253"/>
      <c r="F97" s="252">
        <f>F91*D97</f>
        <v>1497.3333333333333</v>
      </c>
    </row>
    <row r="98" spans="2:7" ht="13.9" x14ac:dyDescent="0.4">
      <c r="B98" s="86" t="s">
        <v>207</v>
      </c>
      <c r="C98" s="237">
        <f>C44</f>
        <v>0.44979999999999998</v>
      </c>
      <c r="D98" s="266"/>
      <c r="E98" s="254">
        <f>F98</f>
        <v>0.30640000000000001</v>
      </c>
      <c r="F98" s="254">
        <f>0.3064</f>
        <v>0.30640000000000001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1398.HK : 工商银行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1398.HK</v>
      </c>
      <c r="D3" s="278"/>
      <c r="E3" s="87"/>
      <c r="F3" s="3" t="s">
        <v>1</v>
      </c>
      <c r="G3" s="132">
        <v>4.71</v>
      </c>
      <c r="H3" s="134" t="s">
        <v>268</v>
      </c>
    </row>
    <row r="4" spans="1:10" ht="15.75" customHeight="1" x14ac:dyDescent="0.4">
      <c r="B4" s="35" t="s">
        <v>195</v>
      </c>
      <c r="C4" s="279" t="str">
        <f>Inputs!C5</f>
        <v>工商银行</v>
      </c>
      <c r="D4" s="280"/>
      <c r="E4" s="87"/>
      <c r="F4" s="3" t="s">
        <v>2</v>
      </c>
      <c r="G4" s="283">
        <f>Inputs!C10</f>
        <v>356406257089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45605</v>
      </c>
      <c r="D5" s="282"/>
      <c r="E5" s="34"/>
      <c r="F5" s="35" t="s">
        <v>99</v>
      </c>
      <c r="G5" s="275">
        <f>G3*G4/1000000</f>
        <v>1678673.47088919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C0014</v>
      </c>
      <c r="E7" s="87"/>
      <c r="F7" s="35" t="s">
        <v>5</v>
      </c>
      <c r="G7" s="133">
        <v>1.0706016620000203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252</v>
      </c>
      <c r="C12" s="174">
        <v>0.08</v>
      </c>
      <c r="D12" s="172">
        <v>8.5999999999999993E-2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253</v>
      </c>
      <c r="C17" s="175">
        <v>9.1999999999999998E-2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1.2012210534502537E-2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0.15470436118294414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9.7044800044936142E-4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>
        <f>G3/(Data!C36*Data!C4/Common_Shares*Exchange_Rate)</f>
        <v>0.40573725791983395</v>
      </c>
    </row>
    <row r="24" spans="1:8" ht="15.75" customHeight="1" x14ac:dyDescent="0.4">
      <c r="B24" s="137" t="s">
        <v>170</v>
      </c>
      <c r="C24" s="171">
        <f>Fin_Analysis!I81</f>
        <v>0.48610500800425166</v>
      </c>
      <c r="F24" s="140" t="s">
        <v>257</v>
      </c>
      <c r="G24" s="268">
        <f>G3/(Fin_Analysis!H86*G7)</f>
        <v>3.9137561470990918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0.27257720239339839</v>
      </c>
    </row>
    <row r="26" spans="1:8" ht="15.75" customHeight="1" x14ac:dyDescent="0.4">
      <c r="B26" s="138" t="s">
        <v>173</v>
      </c>
      <c r="C26" s="171">
        <f>Fin_Analysis!I83</f>
        <v>0.34620797227785238</v>
      </c>
      <c r="F26" s="141" t="s">
        <v>193</v>
      </c>
      <c r="G26" s="178">
        <f>Fin_Analysis!H88*Exchange_Rate/G3</f>
        <v>6.9645934020553343E-2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256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2.6959642255241514</v>
      </c>
      <c r="D29" s="129">
        <f>G29*(1+G20)</f>
        <v>4.7246435579669486</v>
      </c>
      <c r="E29" s="87"/>
      <c r="F29" s="131">
        <f>IF(Fin_Analysis!C108="Profit",Fin_Analysis!F100,IF(Fin_Analysis!C108="Dividend",Fin_Analysis!F103,Fin_Analysis!F106))</f>
        <v>3.1717226182637077</v>
      </c>
      <c r="G29" s="274">
        <f>IF(Fin_Analysis!C108="Profit",Fin_Analysis!I100,IF(Fin_Analysis!C108="Dividend",Fin_Analysis!I103,Fin_Analysis!I106))</f>
        <v>4.1083857025799553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Strongly agree</v>
      </c>
    </row>
    <row r="34" spans="1:3" ht="15.75" customHeight="1" x14ac:dyDescent="0.4">
      <c r="A34"/>
      <c r="B34" s="19" t="s">
        <v>225</v>
      </c>
      <c r="C34" s="225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disagree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agree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1284200.6666666667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1542930</v>
      </c>
      <c r="D6" s="200">
        <f>IF(Inputs!D25="","",Inputs!D25)</f>
        <v>1278674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0.20666409108185513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18534</v>
      </c>
      <c r="D8" s="199">
        <f>IF(Inputs!D26="","",Inputs!D26)</f>
        <v>16493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1524396</v>
      </c>
      <c r="D9" s="151">
        <f t="shared" si="2"/>
        <v>1262181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238698</v>
      </c>
      <c r="D10" s="199">
        <f>IF(Inputs!D27="","",Inputs!D27)</f>
        <v>239351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1497.3333333333333</v>
      </c>
      <c r="D12" s="199">
        <f>IF(Inputs!D30="","",MAX(Inputs!D30,0)/(1-Fin_Analysis!$I$84))</f>
        <v>1304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0.83231298028210399</v>
      </c>
      <c r="D13" s="229">
        <f t="shared" si="3"/>
        <v>0.79889479257418228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1284200.6666666667</v>
      </c>
      <c r="D14" s="230">
        <f t="shared" ref="D14:M14" si="4">IF(D6="","",D9-D10-MAX(D11,0)-MAX(D12,0))</f>
        <v>1021526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0.2571394821734021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255</v>
      </c>
      <c r="C17" s="199">
        <f>IF(Inputs!C29="","",Inputs!C29)</f>
        <v>750026</v>
      </c>
      <c r="D17" s="199">
        <f>IF(Inputs!D29="","",Inputs!D29)</f>
        <v>586689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534174.66666666674</v>
      </c>
      <c r="D22" s="161">
        <f t="shared" ref="D22:M22" si="8">IF(D6="","",D14-MAX(D16,0)-MAX(D17,0)-ABS(MAX(D21,0)-MAX(D19,0)))</f>
        <v>434837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0.25965597920838929</v>
      </c>
      <c r="D23" s="153">
        <f t="shared" si="9"/>
        <v>0.25505152212370003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400631.00000000006</v>
      </c>
      <c r="D24" s="77">
        <f>IF(D6="","",D22*(1-Fin_Analysis!$I$84))</f>
        <v>326127.75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0.22844805448171784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47116536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46016636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43252035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42280604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42280604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3864501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629840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16682618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30433918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>
        <f>IF(C6="","",C14/MAX(C39,0))</f>
        <v>4.2196363500311286E-2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1.2012210534502537E-2</v>
      </c>
      <c r="D42" s="156">
        <f t="shared" si="34"/>
        <v>1.2898518308810534E-2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0.15470436118294414</v>
      </c>
      <c r="D43" s="153">
        <f t="shared" si="35"/>
        <v>0.18718688266125691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0.48610500800425166</v>
      </c>
      <c r="D45" s="153">
        <f t="shared" si="37"/>
        <v>0.45882609640924893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9.7044800044936142E-4</v>
      </c>
      <c r="D46" s="153">
        <f t="shared" ref="D46:M46" si="38">IF(D6="","",MAX(D12,0)/D6)</f>
        <v>1.0198064557502538E-3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0.34620797227785238</v>
      </c>
      <c r="D48" s="153">
        <f t="shared" si="40"/>
        <v>0.34006869616493335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>
        <f>IF(C36="","",(C27-C36)/C27)</f>
        <v>0.91797994232852775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>
        <f t="shared" ref="C54:M54" si="44">IF(OR(C22="",C35=""),"",IF(C35&lt;=0,"-",C22/C35))</f>
        <v>1.2634035849314423E-2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1.4040838077932061</v>
      </c>
      <c r="D55" s="153">
        <f t="shared" si="45"/>
        <v>1.3492159130892725</v>
      </c>
      <c r="E55" s="153" t="str">
        <f t="shared" si="45"/>
        <v/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>
        <f t="shared" ref="C56:M56" si="46">IF(C28="","",C28/C31)</f>
        <v>1.0639184029144524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3864501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3234661</v>
      </c>
      <c r="K3" s="24"/>
    </row>
    <row r="4" spans="1:11" ht="15" customHeight="1" x14ac:dyDescent="0.4">
      <c r="B4" s="3" t="s">
        <v>24</v>
      </c>
      <c r="C4" s="87"/>
      <c r="D4" s="65">
        <f>D3-I3</f>
        <v>629840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>
        <f>C28/I28</f>
        <v>1.0639184029144524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-16666960.195457874</v>
      </c>
      <c r="E6" s="56">
        <f>1-D6/D3</f>
        <v>5.3128363003290398</v>
      </c>
      <c r="F6" s="87"/>
      <c r="G6" s="87"/>
      <c r="H6" s="1" t="s">
        <v>29</v>
      </c>
      <c r="I6" s="63">
        <f>(C24+C25)/I28</f>
        <v>1.0639184029144524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>
        <f>C24/I28</f>
        <v>0.21634034098048796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3628128</v>
      </c>
      <c r="D11" s="198">
        <f>Inputs!D48</f>
        <v>0.9</v>
      </c>
      <c r="E11" s="88">
        <f t="shared" ref="E11:E22" si="0">C11*D11</f>
        <v>3265315.2</v>
      </c>
      <c r="F11" s="112"/>
      <c r="G11" s="87"/>
      <c r="H11" s="3" t="s">
        <v>38</v>
      </c>
      <c r="I11" s="40">
        <f>Inputs!C73</f>
        <v>40496667</v>
      </c>
      <c r="J11" s="87"/>
      <c r="K11" s="24"/>
    </row>
    <row r="12" spans="1:11" ht="13.9" x14ac:dyDescent="0.4">
      <c r="B12" s="1" t="s">
        <v>135</v>
      </c>
      <c r="C12" s="40">
        <f>Inputs!C49</f>
        <v>2171209</v>
      </c>
      <c r="D12" s="198">
        <f>Inputs!D49</f>
        <v>0.8</v>
      </c>
      <c r="E12" s="88">
        <f t="shared" si="0"/>
        <v>1736967.2000000002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3557823</v>
      </c>
      <c r="D14" s="198">
        <f>Inputs!D51</f>
        <v>0.6</v>
      </c>
      <c r="E14" s="88">
        <f t="shared" si="0"/>
        <v>2134693.7999999998</v>
      </c>
      <c r="F14" s="112"/>
      <c r="G14" s="87"/>
      <c r="H14" s="86" t="s">
        <v>42</v>
      </c>
      <c r="I14" s="205">
        <f>Inputs!C76</f>
        <v>1783937</v>
      </c>
      <c r="J14" s="87"/>
      <c r="K14" s="27"/>
    </row>
    <row r="15" spans="1:11" ht="13.9" x14ac:dyDescent="0.4">
      <c r="B15" s="3" t="s">
        <v>43</v>
      </c>
      <c r="C15" s="40">
        <f>Inputs!C52</f>
        <v>9431099</v>
      </c>
      <c r="D15" s="198">
        <f>Inputs!D52</f>
        <v>0.5</v>
      </c>
      <c r="E15" s="88">
        <f t="shared" si="0"/>
        <v>4715549.5</v>
      </c>
      <c r="F15" s="112"/>
      <c r="G15" s="87"/>
      <c r="H15" s="1" t="s">
        <v>53</v>
      </c>
      <c r="I15" s="84">
        <f>SUM(I11:I14)</f>
        <v>42280604</v>
      </c>
      <c r="J15" s="87"/>
    </row>
    <row r="16" spans="1:11" ht="13.9" x14ac:dyDescent="0.4">
      <c r="B16" s="1" t="s">
        <v>158</v>
      </c>
      <c r="C16" s="40">
        <f>Inputs!C53</f>
        <v>27228377</v>
      </c>
      <c r="D16" s="198">
        <f>Inputs!D53</f>
        <v>0.6</v>
      </c>
      <c r="E16" s="88">
        <f t="shared" si="0"/>
        <v>16337026.199999999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971431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9357160</v>
      </c>
      <c r="D24" s="62">
        <f>IF(E24=0,0,E24/C24)</f>
        <v>0.76272888355013702</v>
      </c>
      <c r="E24" s="88">
        <f>SUM(E11:E14)</f>
        <v>7136976.2000000002</v>
      </c>
      <c r="F24" s="113">
        <f>E24/$E$28</f>
        <v>0.25317806488438721</v>
      </c>
      <c r="G24" s="87"/>
    </row>
    <row r="25" spans="2:10" ht="15" customHeight="1" x14ac:dyDescent="0.4">
      <c r="B25" s="23" t="s">
        <v>54</v>
      </c>
      <c r="C25" s="61">
        <f>SUM(C15:C17)</f>
        <v>36659476</v>
      </c>
      <c r="D25" s="62">
        <f>IF(E25=0,0,E25/C25)</f>
        <v>0.57427377576264316</v>
      </c>
      <c r="E25" s="88">
        <f>SUM(E15:E17)</f>
        <v>21052575.699999999</v>
      </c>
      <c r="F25" s="113">
        <f>E25/$E$28</f>
        <v>0.74682193511561279</v>
      </c>
      <c r="G25" s="87"/>
      <c r="H25" s="23" t="s">
        <v>55</v>
      </c>
      <c r="I25" s="63">
        <f>E28/I28</f>
        <v>0.65175088062330477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>
        <f>E26/$E$28</f>
        <v>0</v>
      </c>
      <c r="G26" s="87"/>
      <c r="H26" s="23" t="s">
        <v>57</v>
      </c>
      <c r="I26" s="63">
        <f>E24/($I$28-I22)</f>
        <v>0.16880024230495858</v>
      </c>
      <c r="J26" s="8" t="str">
        <f>IF(I26&lt;1,"Liquidity Problem!","")</f>
        <v>Liquidity Problem!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>
        <f>E27/$E$28</f>
        <v>0</v>
      </c>
      <c r="G27" s="87"/>
      <c r="H27" s="23" t="s">
        <v>59</v>
      </c>
      <c r="I27" s="63">
        <f>(E25+E24)/$I$28</f>
        <v>0.65175088062330477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14</v>
      </c>
      <c r="C28" s="79">
        <f>SUM(C11:C22)</f>
        <v>46016636</v>
      </c>
      <c r="D28" s="57">
        <f>E28/C28</f>
        <v>0.61259479941123895</v>
      </c>
      <c r="E28" s="70">
        <f>SUM(E24:E27)</f>
        <v>28189551.899999999</v>
      </c>
      <c r="F28" s="112"/>
      <c r="G28" s="87"/>
      <c r="H28" s="78" t="s">
        <v>15</v>
      </c>
      <c r="I28" s="206">
        <f>Inputs!C77</f>
        <v>43252035</v>
      </c>
      <c r="J28" s="32">
        <f>IF(J26="",1,0)+IF(J27="",1,0)+IF(J46="",1,0)+IF(J47="",1,0)</f>
        <v>1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65568</v>
      </c>
      <c r="D35" s="198">
        <f>Inputs!D65</f>
        <v>0.1</v>
      </c>
      <c r="E35" s="88">
        <f t="shared" si="1"/>
        <v>6556.8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297776</v>
      </c>
      <c r="D38" s="198">
        <f>Inputs!D68</f>
        <v>0.1</v>
      </c>
      <c r="E38" s="88">
        <f t="shared" si="1"/>
        <v>29777.600000000002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97938</v>
      </c>
      <c r="D41" s="198">
        <f>Inputs!D71</f>
        <v>0.9</v>
      </c>
      <c r="E41" s="88">
        <f t="shared" si="1"/>
        <v>88144.2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638618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65568</v>
      </c>
      <c r="D45" s="62">
        <f>IF(E45=0,0,E45/C45)</f>
        <v>0.1</v>
      </c>
      <c r="E45" s="88">
        <f>SUM(E32:E35)</f>
        <v>6556.8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297776</v>
      </c>
      <c r="D46" s="62">
        <f>IF(E46=0,0,E46/C46)</f>
        <v>0.1</v>
      </c>
      <c r="E46" s="88">
        <f>E36+E37+E38+E39</f>
        <v>29777.600000000002</v>
      </c>
      <c r="F46" s="87"/>
      <c r="G46" s="87"/>
      <c r="H46" s="23" t="s">
        <v>80</v>
      </c>
      <c r="I46" s="63">
        <f>(E44+E24)/E64</f>
        <v>0.16880024230495858</v>
      </c>
      <c r="J46" s="8" t="str">
        <f>IF(I46&lt;1,"Liquidity Problem!","")</f>
        <v>Liquidity Problem!</v>
      </c>
    </row>
    <row r="47" spans="2:10" ht="15" customHeight="1" x14ac:dyDescent="0.4">
      <c r="B47" s="23" t="s">
        <v>81</v>
      </c>
      <c r="C47" s="61">
        <f>C40+C41+C42</f>
        <v>736556</v>
      </c>
      <c r="D47" s="62">
        <f>IF(E47=0,0,E47/C47)</f>
        <v>0.11967073786650302</v>
      </c>
      <c r="E47" s="88">
        <f>E40+E41+E42</f>
        <v>88144.2</v>
      </c>
      <c r="F47" s="87"/>
      <c r="G47" s="87"/>
      <c r="H47" s="23" t="s">
        <v>82</v>
      </c>
      <c r="I47" s="63">
        <f>(E44+E45+E24+E25)/$I$49</f>
        <v>0.65190247580258365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83</v>
      </c>
      <c r="C48" s="81">
        <f>SUM(C30:C42)</f>
        <v>1099900</v>
      </c>
      <c r="D48" s="82">
        <f>E48/C48</f>
        <v>0.11317265205927812</v>
      </c>
      <c r="E48" s="76">
        <f>SUM(E30:E42)</f>
        <v>124478.6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47116536</v>
      </c>
      <c r="D49" s="56">
        <f>E49/C49</f>
        <v>0.60093616602035427</v>
      </c>
      <c r="E49" s="88">
        <f>E28+E48</f>
        <v>28314030.5</v>
      </c>
      <c r="F49" s="87"/>
      <c r="G49" s="87"/>
      <c r="H49" s="3" t="s">
        <v>85</v>
      </c>
      <c r="I49" s="52">
        <f>I28+I48</f>
        <v>43252035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629840</v>
      </c>
      <c r="D53" s="29">
        <f>IF(E53=0, 0,E53/C53)</f>
        <v>1</v>
      </c>
      <c r="E53" s="88">
        <f>IF(C53=0,0,MAX(C53,C53*Dashboard!G23))</f>
        <v>629840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42280604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13054490</v>
      </c>
      <c r="D61" s="56">
        <f t="shared" ref="D61:D70" si="2">IF(E61=0,0,E61/C61)</f>
        <v>0.52524457868518803</v>
      </c>
      <c r="E61" s="52">
        <f>E14+E15+(E19*G19)+(E20*G20)+E31+E32+(E35*G35)+(E36*G36)+(E37*G37)</f>
        <v>6856800.0999999996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3628128</v>
      </c>
      <c r="D62" s="107">
        <f t="shared" si="2"/>
        <v>0.9</v>
      </c>
      <c r="E62" s="118">
        <f>E11+E30</f>
        <v>3265315.2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16682618</v>
      </c>
      <c r="D63" s="29">
        <f t="shared" si="2"/>
        <v>0.60674621333414225</v>
      </c>
      <c r="E63" s="61">
        <f>E61+E62</f>
        <v>10122115.300000001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42280604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-25597986</v>
      </c>
      <c r="D65" s="29">
        <f t="shared" si="2"/>
        <v>1.2562897995178215</v>
      </c>
      <c r="E65" s="61">
        <f>E63-E64</f>
        <v>-32158488.699999999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30433918</v>
      </c>
      <c r="D68" s="29">
        <f t="shared" si="2"/>
        <v>0.59775133783300594</v>
      </c>
      <c r="E68" s="68">
        <f>E49-E63</f>
        <v>18191915.199999999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971431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29462487</v>
      </c>
      <c r="D70" s="29">
        <f t="shared" si="2"/>
        <v>0.58448847851846308</v>
      </c>
      <c r="E70" s="68">
        <f>E68-E69</f>
        <v>17220484.199999999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1542930</v>
      </c>
      <c r="D74" s="209"/>
      <c r="E74" s="238">
        <f>Inputs!E91</f>
        <v>1542930</v>
      </c>
      <c r="F74" s="209"/>
      <c r="H74" s="238">
        <f>Inputs!F91</f>
        <v>1542930</v>
      </c>
      <c r="I74" s="209"/>
      <c r="K74" s="24"/>
    </row>
    <row r="75" spans="1:11" ht="15" customHeight="1" x14ac:dyDescent="0.4">
      <c r="B75" s="104" t="s">
        <v>105</v>
      </c>
      <c r="C75" s="77">
        <f>Data!C8</f>
        <v>18534</v>
      </c>
      <c r="D75" s="159">
        <f>C75/$C$74</f>
        <v>1.2012210534502537E-2</v>
      </c>
      <c r="E75" s="238">
        <f>Inputs!E92</f>
        <v>18534</v>
      </c>
      <c r="F75" s="160">
        <f>E75/E74</f>
        <v>1.2012210534502537E-2</v>
      </c>
      <c r="H75" s="238">
        <f>Inputs!F92</f>
        <v>18534</v>
      </c>
      <c r="I75" s="160">
        <f>H75/$H$74</f>
        <v>1.2012210534502537E-2</v>
      </c>
      <c r="K75" s="24"/>
    </row>
    <row r="76" spans="1:11" ht="15" customHeight="1" x14ac:dyDescent="0.4">
      <c r="B76" s="35" t="s">
        <v>95</v>
      </c>
      <c r="C76" s="161">
        <f>C74-C75</f>
        <v>1524396</v>
      </c>
      <c r="D76" s="210"/>
      <c r="E76" s="162">
        <f>E74-E75</f>
        <v>1524396</v>
      </c>
      <c r="F76" s="210"/>
      <c r="H76" s="162">
        <f>H74-H75</f>
        <v>1524396</v>
      </c>
      <c r="I76" s="210"/>
      <c r="K76" s="24"/>
    </row>
    <row r="77" spans="1:11" ht="15" customHeight="1" x14ac:dyDescent="0.4">
      <c r="B77" s="104" t="s">
        <v>246</v>
      </c>
      <c r="C77" s="77">
        <f>Data!C10+MAX(Data!C11,0)</f>
        <v>238698</v>
      </c>
      <c r="D77" s="159">
        <f>C77/$C$74</f>
        <v>0.15470436118294414</v>
      </c>
      <c r="E77" s="238">
        <f>Inputs!E93</f>
        <v>238698</v>
      </c>
      <c r="F77" s="160">
        <f>E77/E74</f>
        <v>0.15470436118294414</v>
      </c>
      <c r="H77" s="238">
        <f>Inputs!F93</f>
        <v>238698</v>
      </c>
      <c r="I77" s="160">
        <f>H77/$H$74</f>
        <v>0.15470436118294414</v>
      </c>
      <c r="K77" s="24"/>
    </row>
    <row r="78" spans="1:11" ht="15" customHeight="1" x14ac:dyDescent="0.4">
      <c r="B78" s="73" t="s">
        <v>172</v>
      </c>
      <c r="C78" s="77">
        <f>MAX(Data!C12,0)</f>
        <v>1497.3333333333333</v>
      </c>
      <c r="D78" s="159">
        <f>C78/$C$74</f>
        <v>9.7044800044936142E-4</v>
      </c>
      <c r="E78" s="180">
        <f>E74*F78</f>
        <v>1497.3333333333333</v>
      </c>
      <c r="F78" s="160">
        <f>I78</f>
        <v>9.7044800044936142E-4</v>
      </c>
      <c r="H78" s="238">
        <f>Inputs!F97</f>
        <v>1497.3333333333333</v>
      </c>
      <c r="I78" s="160">
        <f>H78/$H$74</f>
        <v>9.7044800044936142E-4</v>
      </c>
      <c r="K78" s="24"/>
    </row>
    <row r="79" spans="1:11" ht="15" customHeight="1" x14ac:dyDescent="0.4">
      <c r="B79" s="256" t="s">
        <v>232</v>
      </c>
      <c r="C79" s="257">
        <f>C76-C77-C78</f>
        <v>1284200.6666666667</v>
      </c>
      <c r="D79" s="258">
        <f>C79/C74</f>
        <v>0.83231298028210399</v>
      </c>
      <c r="E79" s="259">
        <f>E76-E77-E78</f>
        <v>1284200.6666666667</v>
      </c>
      <c r="F79" s="258">
        <f>E79/E74</f>
        <v>0.83231298028210399</v>
      </c>
      <c r="G79" s="260"/>
      <c r="H79" s="259">
        <f>H76-H77-H78</f>
        <v>1284200.6666666667</v>
      </c>
      <c r="I79" s="258">
        <f>H79/H74</f>
        <v>0.83231298028210399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255</v>
      </c>
      <c r="C81" s="77">
        <f>MAX(Data!C17,0)</f>
        <v>750026</v>
      </c>
      <c r="D81" s="159">
        <f>C81/$C$74</f>
        <v>0.48610500800425166</v>
      </c>
      <c r="E81" s="180">
        <f>E74*F81</f>
        <v>750026</v>
      </c>
      <c r="F81" s="160">
        <f>I81</f>
        <v>0.48610500800425166</v>
      </c>
      <c r="H81" s="238">
        <f>Inputs!F94</f>
        <v>750026</v>
      </c>
      <c r="I81" s="160">
        <f>H81/$H$74</f>
        <v>0.48610500800425166</v>
      </c>
      <c r="K81" s="24"/>
    </row>
    <row r="82" spans="1:11" ht="15" customHeight="1" x14ac:dyDescent="0.4">
      <c r="B82" s="28" t="s">
        <v>245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534174.66666666674</v>
      </c>
      <c r="D83" s="164">
        <f>C83/$C$74</f>
        <v>0.34620797227785238</v>
      </c>
      <c r="E83" s="165">
        <f>E79-E81-E82-E80</f>
        <v>534174.66666666674</v>
      </c>
      <c r="F83" s="164">
        <f>E83/E74</f>
        <v>0.34620797227785238</v>
      </c>
      <c r="H83" s="165">
        <f>H79-H81-H82-H80</f>
        <v>534174.66666666674</v>
      </c>
      <c r="I83" s="164">
        <f>H83/$H$74</f>
        <v>0.34620797227785238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400631.00000000006</v>
      </c>
      <c r="D85" s="258">
        <f>C85/$C$74</f>
        <v>0.25965597920838929</v>
      </c>
      <c r="E85" s="264">
        <f>E83*(1-F84)</f>
        <v>400631.00000000006</v>
      </c>
      <c r="F85" s="258">
        <f>E85/E74</f>
        <v>0.25965597920838929</v>
      </c>
      <c r="G85" s="260"/>
      <c r="H85" s="264">
        <f>H83*(1-I84)</f>
        <v>400631.00000000006</v>
      </c>
      <c r="I85" s="258">
        <f>H85/$H$74</f>
        <v>0.25965597920838929</v>
      </c>
      <c r="K85" s="24"/>
    </row>
    <row r="86" spans="1:11" ht="15" customHeight="1" x14ac:dyDescent="0.4">
      <c r="B86" s="87" t="s">
        <v>160</v>
      </c>
      <c r="C86" s="167">
        <f>C85*Data!C4/Common_Shares</f>
        <v>1.1240852034198616</v>
      </c>
      <c r="D86" s="209"/>
      <c r="E86" s="168">
        <f>E85*Data!C4/Common_Shares</f>
        <v>1.1240852034198616</v>
      </c>
      <c r="F86" s="209"/>
      <c r="H86" s="168">
        <f>H85*Data!C4/Common_Shares</f>
        <v>1.1240852034198616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0.25550902059680142</v>
      </c>
      <c r="D87" s="209"/>
      <c r="E87" s="262">
        <f>E86*Exchange_Rate/Dashboard!G3</f>
        <v>0.25550902059680142</v>
      </c>
      <c r="F87" s="209"/>
      <c r="H87" s="262">
        <f>H86*Exchange_Rate/Dashboard!G3</f>
        <v>0.25550902059680142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0.44979999999999998</v>
      </c>
      <c r="D88" s="166">
        <f>C88/C86</f>
        <v>0.40014760325244969</v>
      </c>
      <c r="E88" s="170">
        <f>Inputs!E98</f>
        <v>0.30640000000000001</v>
      </c>
      <c r="F88" s="166">
        <f>E88/E86</f>
        <v>0.27257720239339839</v>
      </c>
      <c r="H88" s="170">
        <f>Inputs!F98</f>
        <v>0.30640000000000001</v>
      </c>
      <c r="I88" s="166">
        <f>H88/H86</f>
        <v>0.27257720239339839</v>
      </c>
      <c r="K88" s="24"/>
    </row>
    <row r="89" spans="1:11" ht="15" customHeight="1" x14ac:dyDescent="0.4">
      <c r="B89" s="87" t="s">
        <v>221</v>
      </c>
      <c r="C89" s="261">
        <f>C88*Exchange_Rate/Dashboard!G3</f>
        <v>0.10224132220119089</v>
      </c>
      <c r="D89" s="209"/>
      <c r="E89" s="261">
        <f>E88*Exchange_Rate/Dashboard!G3</f>
        <v>6.9645934020553343E-2</v>
      </c>
      <c r="F89" s="209"/>
      <c r="H89" s="261">
        <f>H88*Exchange_Rate/Dashboard!G3</f>
        <v>6.9645934020553343E-2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9.1999999999999998E-2</v>
      </c>
      <c r="D93" s="239">
        <f>Inputs!C86</f>
        <v>5</v>
      </c>
      <c r="E93" s="87" t="s">
        <v>209</v>
      </c>
      <c r="F93" s="144">
        <f>FV(E87,D93,0,-(E86/(C93-D94)))*Exchange_Rate</f>
        <v>52.142738332202519</v>
      </c>
      <c r="H93" s="87" t="s">
        <v>209</v>
      </c>
      <c r="I93" s="144">
        <f>FV(H87,D93,0,-(H86/(C93-D94)))*Exchange_Rate</f>
        <v>52.142738332202519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6.3794670850010249</v>
      </c>
      <c r="H94" s="87" t="s">
        <v>210</v>
      </c>
      <c r="I94" s="144">
        <f>FV(H89,D93,0,-(H88/(C93-D94)))*Exchange_Rate</f>
        <v>6.3794670850010249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9239531.5555315465</v>
      </c>
      <c r="D97" s="213"/>
      <c r="E97" s="123">
        <f>PV(C94,D93,0,-F93)</f>
        <v>25.924156413517444</v>
      </c>
      <c r="F97" s="213"/>
      <c r="H97" s="123">
        <f>PV(C94,D93,0,-I93)</f>
        <v>25.924156413517444</v>
      </c>
      <c r="I97" s="123">
        <f>PV(C93,D93,0,-I93)</f>
        <v>33.579996229003854</v>
      </c>
      <c r="K97" s="24"/>
    </row>
    <row r="98" spans="2:11" ht="15" customHeight="1" x14ac:dyDescent="0.4">
      <c r="B98" s="28" t="s">
        <v>144</v>
      </c>
      <c r="C98" s="91">
        <f>E53*Exchange_Rate</f>
        <v>674307.75079409278</v>
      </c>
      <c r="D98" s="213"/>
      <c r="E98" s="213"/>
      <c r="F98" s="213"/>
      <c r="H98" s="123">
        <f>C98*Data!$C$4/Common_Shares</f>
        <v>1.8919638400896761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-34428931.449628867</v>
      </c>
      <c r="D99" s="214"/>
      <c r="E99" s="145">
        <f>IF(H99&gt;0,H99*(1-C94),H99*(1+C94))</f>
        <v>-111.09028076683335</v>
      </c>
      <c r="F99" s="214"/>
      <c r="H99" s="145">
        <f>C99*Data!$C$4/Common_Shares</f>
        <v>-96.60024414507248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-25863707.644891411</v>
      </c>
      <c r="D100" s="109">
        <f>MIN(F100*(1-C94),E100)</f>
        <v>0</v>
      </c>
      <c r="E100" s="109">
        <f>MAX(E97-H98+E99,0)</f>
        <v>0</v>
      </c>
      <c r="F100" s="109">
        <f>(E100+H100)/2</f>
        <v>0</v>
      </c>
      <c r="H100" s="109">
        <f>MAX(C100*Data!$C$4/Common_Shares,0)</f>
        <v>0</v>
      </c>
      <c r="I100" s="109">
        <f>MAX(I97-H98+H99,0)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1130421.7868998912</v>
      </c>
      <c r="D103" s="109">
        <f>MIN(F103*(1-C94),E103)</f>
        <v>2.6959642255241514</v>
      </c>
      <c r="E103" s="123">
        <f>PV(C94,D93,0,-F94)</f>
        <v>3.1717226182637077</v>
      </c>
      <c r="F103" s="109">
        <f>(E103+H103)/2</f>
        <v>3.1717226182637077</v>
      </c>
      <c r="H103" s="123">
        <f>PV(C94,D93,0,-I94)</f>
        <v>3.1717226182637077</v>
      </c>
      <c r="I103" s="109">
        <f>PV(C93,D93,0,-I94)</f>
        <v>4.1083857025799553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565210.89344994561</v>
      </c>
      <c r="D106" s="109">
        <f>(D100+D103)/2</f>
        <v>1.3479821127620757</v>
      </c>
      <c r="E106" s="123">
        <f>(E100+E103)/2</f>
        <v>1.5858613091318539</v>
      </c>
      <c r="F106" s="109">
        <f>(F100+F103)/2</f>
        <v>1.5858613091318539</v>
      </c>
      <c r="H106" s="123">
        <f>(H100+H103)/2</f>
        <v>1.5858613091318539</v>
      </c>
      <c r="I106" s="123">
        <f>(I100+I103)/2</f>
        <v>2.0541928512899776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2024-12-09T06:11:55Z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