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C12D30F-3EC7-4E38-87D1-0CA03524277E}" xr6:coauthVersionLast="47" xr6:coauthVersionMax="47" xr10:uidLastSave="{00000000-0000-0000-0000-000000000000}"/>
  <bookViews>
    <workbookView xWindow="-98" yWindow="-98" windowWidth="17115" windowHeight="10755" firstSheet="1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6" i="4" l="1"/>
  <c r="F95" i="4"/>
  <c r="E95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6" i="4" l="1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J12" i="2" l="1"/>
  <c r="I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E92" i="4"/>
  <c r="F92" i="4"/>
  <c r="I103" i="3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<sst xmlns="http://schemas.openxmlformats.org/spreadsheetml/2006/main" count="390" uniqueCount="270">
  <si>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</si>
  <si>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</si>
  <si>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</si>
  <si>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</si>
  <si>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</si>
  <si>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</si>
  <si>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</si>
  <si>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</si>
  <si>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</si>
  <si>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</si>
  <si>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</si>
  <si>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</si>
  <si>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</si>
  <si>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</si>
  <si>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</si>
  <si>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</si>
  <si>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</si>
  <si>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</si>
  <si>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</si>
  <si>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</si>
  <si>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</si>
  <si>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</si>
  <si>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</si>
  <si>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</si>
  <si>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</si>
  <si>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</si>
  <si>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</si>
  <si>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</si>
  <si>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</si>
  <si>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</si>
  <si>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</si>
  <si>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</si>
  <si>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</si>
  <si>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</si>
  <si>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</si>
  <si>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</si>
  <si>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</si>
  <si>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</si>
  <si>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</si>
  <si>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</si>
  <si>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</si>
  <si>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</si>
  <si>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</si>
  <si>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</si>
  <si>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</si>
  <si>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</si>
  <si>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</si>
  <si>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</si>
  <si>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</si>
  <si>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</si>
  <si>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</si>
  <si>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</si>
  <si>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</si>
  <si>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</si>
  <si>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</si>
  <si>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</si>
  <si>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</si>
  <si>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</si>
  <si>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</si>
  <si>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</si>
  <si>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</si>
  <si>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</si>
  <si>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</si>
  <si>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</si>
  <si>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</si>
  <si>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</si>
  <si>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</si>
  <si>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</si>
  <si>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</si>
  <si>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</si>
  <si>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</si>
  <si>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</si>
  <si>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</si>
  <si>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</si>
  <si>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</si>
  <si>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</si>
  <si>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</si>
  <si>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</si>
  <si>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</si>
  <si>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</si>
  <si>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</si>
  <si>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</si>
  <si>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</si>
  <si>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</si>
  <si>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</si>
  <si>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</si>
  <si>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</si>
  <si>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</si>
  <si>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</si>
  <si>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</si>
  <si>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</si>
  <si>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</si>
  <si>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</si>
  <si>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</si>
  <si>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</si>
  <si>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</si>
  <si>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</si>
  <si>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</si>
  <si>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</si>
  <si>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</si>
  <si>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</si>
  <si>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</si>
  <si>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</si>
  <si>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</si>
  <si>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</si>
  <si>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</si>
  <si>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</si>
  <si>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</si>
  <si>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</si>
  <si>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</si>
  <si>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</si>
  <si>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</si>
  <si>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</si>
  <si>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</si>
  <si>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</si>
  <si>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</si>
  <si>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</si>
  <si>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</si>
  <si>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</si>
  <si>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</si>
  <si>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</si>
  <si>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</si>
  <si>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</si>
  <si>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</si>
  <si>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</si>
  <si>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</si>
  <si>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</si>
  <si>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</si>
  <si>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</si>
  <si>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</si>
  <si>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</si>
  <si>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</si>
  <si>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</si>
  <si>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</si>
  <si>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</si>
  <si>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</si>
  <si>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</si>
  <si>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</si>
  <si>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</si>
  <si>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</si>
  <si>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</si>
  <si>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</si>
  <si>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</si>
  <si>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</si>
  <si>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</si>
  <si>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</si>
  <si>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</si>
  <si>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</si>
  <si>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</si>
  <si>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</si>
  <si>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</si>
  <si>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</si>
  <si>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</si>
  <si>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</si>
  <si>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</si>
  <si>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</si>
  <si>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</si>
  <si>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</si>
  <si>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</si>
  <si>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</si>
  <si>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</si>
  <si>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</si>
  <si>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</si>
  <si>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</si>
  <si>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</si>
  <si>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</si>
  <si>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</si>
  <si>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</si>
  <si>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</si>
  <si>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</si>
  <si>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</si>
  <si>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</si>
  <si>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</si>
  <si>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</si>
  <si>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</si>
  <si>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</si>
  <si>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</si>
  <si>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</si>
  <si>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</si>
  <si>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</si>
  <si>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</si>
  <si>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</si>
  <si>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</si>
  <si>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</si>
  <si>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</si>
  <si>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</si>
  <si>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</si>
  <si>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</si>
  <si>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</si>
  <si>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</si>
  <si>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</si>
  <si>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</si>
  <si>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</si>
  <si>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</si>
  <si>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</si>
  <si>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</si>
  <si>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</si>
  <si>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</si>
  <si>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</si>
  <si>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</si>
  <si>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</si>
  <si>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</si>
  <si>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</si>
  <si>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</si>
  <si>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</si>
  <si>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</si>
  <si>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</si>
  <si>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</si>
  <si>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</si>
  <si>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</si>
  <si>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</si>
  <si>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</si>
  <si>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</si>
  <si>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</si>
  <si>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</si>
  <si>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</si>
  <si>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</si>
  <si>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</si>
  <si>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</si>
  <si>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</si>
  <si>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</si>
  <si>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</si>
  <si>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</si>
  <si>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</si>
  <si>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</si>
  <si>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</si>
  <si>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</si>
  <si>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</si>
  <si>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</si>
  <si>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</si>
  <si>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</si>
  <si>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</si>
  <si>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</si>
  <si>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</si>
  <si>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</si>
  <si>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</si>
  <si>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</si>
  <si>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</si>
  <si>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</si>
  <si>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</si>
  <si>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</si>
  <si>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</si>
  <si>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</si>
  <si>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</si>
  <si>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</si>
  <si>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</si>
  <si>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</si>
  <si>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</si>
  <si>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</si>
  <si>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</si>
  <si>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</si>
  <si>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</si>
  <si>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</si>
  <si>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</si>
  <si>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</si>
  <si>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</si>
  <si>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</si>
  <si>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</si>
  <si>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</si>
  <si>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</si>
  <si>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</si>
  <si>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</si>
  <si>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</si>
  <si>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 xml:space="preserve">Superior Cycl. 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</si>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</sst>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7" sqref="D1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264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265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3.030651340996169E-2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28" sqref="E28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5.22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5448.069525599999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1.486057079793264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14.648184303963689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3.030651340996169E-2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3.5819960589157436</v>
      </c>
      <c r="D29" s="129">
        <f>G29*(1+G20)</f>
        <v>6.3129565542103983</v>
      </c>
      <c r="E29" s="87"/>
      <c r="F29" s="131">
        <f>IF(Fin_Analysis!C108="Profit",Fin_Analysis!F100,IF(Fin_Analysis!C108="Dividend",Fin_Analysis!F103,Fin_Analysis!F106))</f>
        <v>4.2141130104891102</v>
      </c>
      <c r="G29" s="274">
        <f>IF(Fin_Analysis!C108="Profit",Fin_Analysis!I100,IF(Fin_Analysis!C108="Dividend",Fin_Analysis!I103,Fin_Analysis!I106))</f>
        <v>5.4895274384438251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J6" sqref="J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0.19766986347718032</v>
      </c>
      <c r="D53" s="156">
        <f t="shared" ref="D53:M53" si="43">IF(D36="","",(D27-D36)/D27)</f>
        <v>0.21543286092524916</v>
      </c>
      <c r="E53" s="156">
        <f t="shared" si="43"/>
        <v>0.21737674703003232</v>
      </c>
      <c r="F53" s="156">
        <f t="shared" si="43"/>
        <v>0.22004620095970678</v>
      </c>
      <c r="G53" s="156">
        <f t="shared" si="43"/>
        <v>0.19888345313804912</v>
      </c>
      <c r="H53" s="156">
        <f t="shared" si="43"/>
        <v>0.19107288948809867</v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24.526937370263081</v>
      </c>
      <c r="D54" s="157">
        <f t="shared" si="44"/>
        <v>-17.20145141071864</v>
      </c>
      <c r="E54" s="157">
        <f t="shared" si="44"/>
        <v>13.117959745698334</v>
      </c>
      <c r="F54" s="157">
        <f t="shared" si="44"/>
        <v>10.918819567970536</v>
      </c>
      <c r="G54" s="157">
        <f t="shared" si="44"/>
        <v>22.780465594710311</v>
      </c>
      <c r="H54" s="157" t="str">
        <f t="shared" si="44"/>
        <v>-</v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1.4412548707603233E-3</v>
      </c>
      <c r="D55" s="153">
        <f t="shared" si="45"/>
        <v>-1.5569092100994012E-3</v>
      </c>
      <c r="E55" s="153">
        <f t="shared" si="45"/>
        <v>2.4816668616667779E-3</v>
      </c>
      <c r="F55" s="153">
        <f t="shared" si="45"/>
        <v>6.3715119602040062E-4</v>
      </c>
      <c r="G55" s="153">
        <f t="shared" si="45"/>
        <v>1.5686346067175269E-3</v>
      </c>
      <c r="H55" s="153" t="str">
        <f t="shared" si="45"/>
        <v>-</v>
      </c>
      <c r="I55" s="153" t="str">
        <f t="shared" si="45"/>
        <v>-</v>
      </c>
      <c r="J55" s="153" t="str">
        <f t="shared" si="45"/>
        <v>-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3.0168041692869996</v>
      </c>
      <c r="D56" s="158">
        <f t="shared" si="46"/>
        <v>2.7942400285655307</v>
      </c>
      <c r="E56" s="158">
        <f t="shared" si="46"/>
        <v>2.9317232378441278</v>
      </c>
      <c r="F56" s="158">
        <f t="shared" si="46"/>
        <v>3.0944307449985029</v>
      </c>
      <c r="G56" s="158">
        <f t="shared" si="46"/>
        <v>3.4859449249150689</v>
      </c>
      <c r="H56" s="158">
        <f t="shared" si="46"/>
        <v>3.6713486815660423</v>
      </c>
      <c r="I56" s="158" t="e">
        <f t="shared" si="46"/>
        <v>#VALUE!</v>
      </c>
      <c r="J56" s="158" t="e">
        <f t="shared" si="46"/>
        <v>#VALUE!</v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4" zoomScaleNormal="100" workbookViewId="0">
      <selection activeCell="F100" sqref="F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1101153.5784193897</v>
      </c>
      <c r="E6" s="56">
        <f>1-D6/D3</f>
        <v>0.69964093456211796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1.0550565943293795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1.486057079793264</v>
      </c>
      <c r="E53" s="88">
        <f>IF(C53=0,0,MAX(C53,C53*Dashboard!G23))</f>
        <v>67783.521580610148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2.7250821929195094E-2</v>
      </c>
      <c r="D87" s="209"/>
      <c r="E87" s="262">
        <f>E86*Exchange_Rate/Dashboard!G3</f>
        <v>6.2691915171986509E-2</v>
      </c>
      <c r="F87" s="209"/>
      <c r="H87" s="262">
        <f>H86*Exchange_Rate/Dashboard!G3</f>
        <v>6.8267846666115989E-2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3.030651340996169E-2</v>
      </c>
      <c r="D89" s="209"/>
      <c r="E89" s="261">
        <f>E88*Exchange_Rate/Dashboard!G3</f>
        <v>3.030651340996169E-2</v>
      </c>
      <c r="F89" s="209"/>
      <c r="H89" s="261">
        <f>H88*Exchange_Rate/Dashboard!G3</f>
        <v>3.030651340996169E-2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210</v>
      </c>
      <c r="F93" s="144">
        <f>FV(E87,D93,0,-(E86/(C93-D94)))*Exchange_Rate</f>
        <v>6.1600810524650527</v>
      </c>
      <c r="H93" s="87" t="s">
        <v>210</v>
      </c>
      <c r="I93" s="144">
        <f>FV(H87,D93,0,-(H86/(C93-D94)))*Exchange_Rate</f>
        <v>6.8858093756045671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2.5509750416245867</v>
      </c>
      <c r="H94" s="87" t="s">
        <v>211</v>
      </c>
      <c r="I94" s="144">
        <f>FV(H89,D93,0,-(H88/(C93-D94)))*Exchange_Rate</f>
        <v>2.5509750416245867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3573040.4439776358</v>
      </c>
      <c r="D97" s="213"/>
      <c r="E97" s="123">
        <f>PV(C94,D93,0,-F93)</f>
        <v>3.0626489868374285</v>
      </c>
      <c r="F97" s="213"/>
      <c r="H97" s="123">
        <f>PV(C94,D93,0,-I93)</f>
        <v>3.4234642252494347</v>
      </c>
      <c r="I97" s="123">
        <f>PV(C93,D93,0,-I93)</f>
        <v>4.4344708441144451</v>
      </c>
      <c r="K97" s="24"/>
    </row>
    <row r="98" spans="2:11" ht="15" customHeight="1" x14ac:dyDescent="0.4">
      <c r="B98" s="28" t="s">
        <v>145</v>
      </c>
      <c r="C98" s="91">
        <f>E53*Exchange_Rate</f>
        <v>67783.521580610148</v>
      </c>
      <c r="D98" s="213"/>
      <c r="E98" s="213"/>
      <c r="F98" s="213"/>
      <c r="H98" s="123">
        <f>C98*Data!$C$4/Common_Shares</f>
        <v>6.4945937453288541E-2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4674194.0223970255</v>
      </c>
      <c r="D100" s="109">
        <f>MIN(F100*(1-C94),E100)</f>
        <v>3.5819960589157436</v>
      </c>
      <c r="E100" s="109">
        <f>MAX(E97-H98+E99,0)</f>
        <v>3.9497052013994076</v>
      </c>
      <c r="F100" s="109">
        <f>(E100+H100)/2</f>
        <v>4.2141130104891102</v>
      </c>
      <c r="H100" s="109">
        <f>MAX(C100*Data!$C$4/Common_Shares,0)</f>
        <v>4.4785208195788133</v>
      </c>
      <c r="I100" s="109">
        <f>MAX(I97-H98+H99,0)</f>
        <v>5.4895274384438251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1323698.7110904325</v>
      </c>
      <c r="D103" s="109">
        <f>MIN(F103*(1-C94),E103)</f>
        <v>1.0780426265689815</v>
      </c>
      <c r="E103" s="123">
        <f>PV(C94,D93,0,-F94)</f>
        <v>1.2682854430223311</v>
      </c>
      <c r="F103" s="109">
        <f>(E103+H103)/2</f>
        <v>1.2682854430223311</v>
      </c>
      <c r="H103" s="123">
        <f>PV(C94,D93,0,-I94)</f>
        <v>1.2682854430223311</v>
      </c>
      <c r="I103" s="109">
        <f>PV(C93,D93,0,-I94)</f>
        <v>1.6428314856094401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2722986.1891513392</v>
      </c>
      <c r="D106" s="109">
        <f>(D100+D103)/2</f>
        <v>2.3300193427423626</v>
      </c>
      <c r="E106" s="123">
        <f>(E100+E103)/2</f>
        <v>2.6089953222108693</v>
      </c>
      <c r="F106" s="109">
        <f>(F100+F103)/2</f>
        <v>2.7411992267557208</v>
      </c>
      <c r="H106" s="123">
        <f>(H100+H103)/2</f>
        <v>2.8734031313005723</v>
      </c>
      <c r="I106" s="123">
        <f>(I100+I103)/2</f>
        <v>3.5661794620266325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