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6DFCE0-9EFE-4C16-BA20-FE4A05D298B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3" i="4" l="1"/>
  <c r="F95" i="4"/>
  <c r="F97" i="4"/>
  <c r="F96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<sst xmlns="http://schemas.openxmlformats.org/spreadsheetml/2006/main" count="390" uniqueCount="269">
  <si>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</si>
  <si>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</si>
  <si>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</si>
  <si>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</si>
  <si>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</si>
  <si>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</si>
  <si>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</si>
  <si>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</si>
  <si>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</si>
  <si>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</si>
  <si>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</si>
  <si>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</si>
  <si>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</si>
  <si>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</si>
  <si>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</si>
  <si>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</si>
  <si>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</si>
  <si>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</si>
  <si>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</si>
  <si>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</si>
  <si>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</si>
  <si>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</si>
  <si>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</si>
  <si>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</si>
  <si>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</si>
  <si>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</si>
  <si>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</si>
  <si>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</si>
  <si>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</si>
  <si>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</si>
  <si>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</si>
  <si>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</si>
  <si>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</si>
  <si>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</si>
  <si>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</si>
  <si>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</si>
  <si>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</si>
  <si>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</si>
  <si>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</si>
  <si>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</si>
  <si>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</si>
  <si>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</si>
  <si>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</si>
  <si>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</si>
  <si>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</si>
  <si>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</si>
  <si>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</si>
  <si>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</si>
  <si>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</si>
  <si>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</si>
  <si>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</si>
  <si>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</si>
  <si>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</si>
  <si>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</si>
  <si>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</si>
  <si>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</si>
  <si>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</si>
  <si>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</si>
  <si>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</si>
  <si>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</si>
  <si>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</si>
  <si>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</si>
  <si>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</si>
  <si>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</si>
  <si>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</si>
  <si>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</si>
  <si>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</si>
  <si>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</si>
  <si>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</si>
  <si>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</si>
  <si>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</si>
  <si>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</si>
  <si>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</si>
  <si>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</si>
  <si>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</si>
  <si>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</si>
  <si>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</si>
  <si>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</si>
  <si>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</si>
  <si>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</si>
  <si>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</si>
  <si>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</si>
  <si>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</si>
  <si>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</si>
  <si>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</si>
  <si>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</si>
  <si>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</si>
  <si>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</si>
  <si>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</si>
  <si>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</si>
  <si>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</si>
  <si>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</si>
  <si>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</si>
  <si>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</si>
  <si>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</si>
  <si>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</si>
  <si>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</si>
  <si>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</si>
  <si>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</si>
  <si>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</si>
  <si>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</si>
  <si>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</si>
  <si>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</si>
  <si>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</si>
  <si>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</si>
  <si>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</si>
  <si>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</si>
  <si>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</si>
  <si>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</si>
  <si>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</si>
  <si>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</si>
  <si>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</si>
  <si>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</si>
  <si>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</si>
  <si>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</si>
  <si>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</si>
  <si>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</si>
  <si>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</si>
  <si>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</si>
  <si>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</si>
  <si>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</si>
  <si>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</si>
  <si>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</si>
  <si>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</si>
  <si>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</si>
  <si>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</si>
  <si>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</si>
  <si>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</si>
  <si>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</si>
  <si>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</si>
  <si>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</si>
  <si>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</si>
  <si>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</si>
  <si>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</si>
  <si>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</si>
  <si>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</si>
  <si>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</si>
  <si>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</si>
  <si>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</si>
  <si>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</si>
  <si>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</si>
  <si>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</si>
  <si>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</si>
  <si>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</si>
  <si>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</si>
  <si>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</si>
  <si>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</si>
  <si>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</si>
  <si>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</si>
  <si>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</si>
  <si>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</si>
  <si>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</si>
  <si>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</si>
  <si>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</si>
  <si>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</si>
  <si>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</si>
  <si>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</si>
  <si>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</si>
  <si>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</si>
  <si>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</si>
  <si>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</si>
  <si>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</si>
  <si>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</si>
  <si>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</si>
  <si>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</si>
  <si>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</si>
  <si>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</si>
  <si>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</si>
  <si>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</si>
  <si>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</si>
  <si>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</si>
  <si>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</si>
  <si>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</si>
  <si>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</si>
  <si>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</si>
  <si>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</si>
  <si>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</si>
  <si>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</si>
  <si>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</si>
  <si>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</si>
  <si>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</si>
  <si>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</si>
  <si>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</si>
  <si>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</si>
  <si>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</si>
  <si>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</si>
  <si>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</si>
  <si>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</si>
  <si>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</si>
  <si>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</si>
  <si>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</si>
  <si>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</si>
  <si>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</si>
  <si>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</si>
  <si>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</si>
  <si>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</si>
  <si>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</si>
  <si>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</si>
  <si>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</si>
  <si>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</si>
  <si>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</si>
  <si>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</si>
  <si>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</si>
  <si>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</si>
  <si>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</si>
  <si>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</si>
  <si>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</si>
  <si>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</si>
  <si>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</si>
  <si>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</si>
  <si>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</si>
  <si>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</si>
  <si>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</si>
  <si>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</si>
  <si>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</si>
  <si>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</si>
  <si>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</si>
  <si>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</si>
  <si>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</si>
  <si>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</si>
  <si>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</si>
  <si>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</si>
  <si>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</si>
  <si>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</si>
  <si>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</si>
  <si>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</si>
  <si>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</si>
  <si>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</si>
  <si>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</si>
  <si>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</si>
  <si>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</si>
  <si>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</si>
  <si>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</si>
  <si>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</si>
  <si>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</si>
  <si>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</si>
  <si>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</si>
  <si>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</si>
  <si>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</si>
  <si>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</si>
  <si>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</si>
  <si>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</si>
  <si>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</si>
  <si>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</si>
  <si>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</si>
  <si>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</si>
  <si>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</si>
  <si>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</si>
  <si>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</si>
  <si>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</si>
  <si>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</si>
  <si>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</si>
  <si>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</si>
  <si>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</si>
  <si>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</si>
  <si>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</si>
  <si>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</si>
  <si>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</si>
  <si>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</si>
  <si>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</si>
  <si>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</si>
  <si>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</si>
  <si>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</si>
  <si>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Tier 3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</si>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</sst>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821163500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266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(0.61+0.42)/Exchange_Rate</f>
        <v>0.13235451092757064</v>
      </c>
      <c r="D44" s="250">
        <f>(0.45+0.42)/Exchange_Rate</f>
        <v>0.11179458689998686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6.8758344459279044E-2</v>
      </c>
      <c r="D45" s="152">
        <f>IF(D44="","",D44*Exchange_Rate/Dashboard!$G$3)</f>
        <v>5.8077436582109475E-2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207</v>
      </c>
      <c r="C98" s="237">
        <f>C44</f>
        <v>0.13235451092757064</v>
      </c>
      <c r="D98" s="266"/>
      <c r="E98" s="254">
        <f>F98</f>
        <v>0.13235451092757064</v>
      </c>
      <c r="F98" s="254">
        <f>C98</f>
        <v>0.13235451092757064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1836.HK</v>
      </c>
      <c r="D3" s="278"/>
      <c r="E3" s="87"/>
      <c r="F3" s="3" t="s">
        <v>1</v>
      </c>
      <c r="G3" s="132">
        <v>14.98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九興控股</v>
      </c>
      <c r="D4" s="280"/>
      <c r="E4" s="87"/>
      <c r="F4" s="3" t="s">
        <v>2</v>
      </c>
      <c r="G4" s="283">
        <f>Inputs!C10</f>
        <v>821163500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12301.02923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0.75431095413462357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6.3176187869769956E-4</v>
      </c>
      <c r="F24" s="140" t="s">
        <v>260</v>
      </c>
      <c r="G24" s="268">
        <f>G3/(Fin_Analysis!H86*G7)</f>
        <v>12.498207434332807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0.85935605189337716</v>
      </c>
    </row>
    <row r="26" spans="1:8" ht="15.75" customHeight="1" x14ac:dyDescent="0.4">
      <c r="B26" s="138" t="s">
        <v>173</v>
      </c>
      <c r="C26" s="171">
        <f>Fin_Analysis!I83</f>
        <v>0.11297327149257705</v>
      </c>
      <c r="F26" s="141" t="s">
        <v>193</v>
      </c>
      <c r="G26" s="178">
        <f>Fin_Analysis!H88*Exchange_Rate/G3</f>
        <v>6.8758344459279044E-2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10.337205733124337</v>
      </c>
      <c r="D29" s="129">
        <f>G29*(1+G20)</f>
        <v>18.115823649288028</v>
      </c>
      <c r="E29" s="87"/>
      <c r="F29" s="131">
        <f>IF(Fin_Analysis!C108="Profit",Fin_Analysis!F100,IF(Fin_Analysis!C108="Dividend",Fin_Analysis!F103,Fin_Analysis!F106))</f>
        <v>12.161418509558043</v>
      </c>
      <c r="G29" s="274">
        <f>IF(Fin_Analysis!C108="Profit",Fin_Analysis!I100,IF(Fin_Analysis!C108="Dividend",Fin_Analysis!I103,Fin_Analysis!I106))</f>
        <v>15.752890129815679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5.5921358242618444E-3</v>
      </c>
      <c r="D55" s="153">
        <f t="shared" si="45"/>
        <v>6.3724365119010654E-3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95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232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160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8.0011474065711352E-2</v>
      </c>
      <c r="D87" s="209"/>
      <c r="E87" s="262">
        <f>E86*Exchange_Rate/Dashboard!G3</f>
        <v>8.0011474065711338E-2</v>
      </c>
      <c r="F87" s="209"/>
      <c r="H87" s="262">
        <f>H86*Exchange_Rate/Dashboard!G3</f>
        <v>8.0011474065711338E-2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0.13235451092757064</v>
      </c>
      <c r="D88" s="166">
        <f>C88/C86</f>
        <v>0.85935605189337705</v>
      </c>
      <c r="E88" s="170">
        <f>Inputs!E98</f>
        <v>0.13235451092757064</v>
      </c>
      <c r="F88" s="166">
        <f>E88/E86</f>
        <v>0.85935605189337716</v>
      </c>
      <c r="H88" s="170">
        <f>Inputs!F98</f>
        <v>0.13235451092757064</v>
      </c>
      <c r="I88" s="166">
        <f>H88/H86</f>
        <v>0.85935605189337716</v>
      </c>
      <c r="K88" s="24"/>
    </row>
    <row r="89" spans="1:11" ht="15" customHeight="1" x14ac:dyDescent="0.4">
      <c r="B89" s="87" t="s">
        <v>221</v>
      </c>
      <c r="C89" s="261">
        <f>C88*Exchange_Rate/Dashboard!G3</f>
        <v>6.8758344459279044E-2</v>
      </c>
      <c r="D89" s="209"/>
      <c r="E89" s="261">
        <f>E88*Exchange_Rate/Dashboard!G3</f>
        <v>6.8758344459279044E-2</v>
      </c>
      <c r="F89" s="209"/>
      <c r="H89" s="261">
        <f>H88*Exchange_Rate/Dashboard!G3</f>
        <v>6.8758344459279044E-2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24.460956529395101</v>
      </c>
      <c r="H93" s="87" t="s">
        <v>209</v>
      </c>
      <c r="I93" s="144">
        <f>FV(H87,D93,0,-(H86/(C93-D94)))*Exchange_Rate</f>
        <v>24.460956529395101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19.948136028299462</v>
      </c>
      <c r="H94" s="87" t="s">
        <v>210</v>
      </c>
      <c r="I94" s="144">
        <f>FV(H89,D93,0,-(H88/(C93-D94)))*Exchange_Rate</f>
        <v>19.948136028299462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9986512.988273466</v>
      </c>
      <c r="D97" s="213"/>
      <c r="E97" s="123">
        <f>PV(C94,D93,0,-F93)</f>
        <v>12.161418509558043</v>
      </c>
      <c r="F97" s="213"/>
      <c r="H97" s="123">
        <f>PV(C94,D93,0,-I93)</f>
        <v>12.161418509558043</v>
      </c>
      <c r="I97" s="123">
        <f>PV(C93,D93,0,-I93)</f>
        <v>15.752890129815679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9986512.988273466</v>
      </c>
      <c r="D100" s="109">
        <f>MIN(F100*(1-C94),E100)</f>
        <v>10.337205733124337</v>
      </c>
      <c r="E100" s="109">
        <f>MAX(E97-H98+E99,0)</f>
        <v>12.161418509558043</v>
      </c>
      <c r="F100" s="109">
        <f>(E100+H100)/2</f>
        <v>12.161418509558043</v>
      </c>
      <c r="H100" s="109">
        <f>MAX(C100*Data!$C$4/Common_Shares,0)</f>
        <v>12.161418509558043</v>
      </c>
      <c r="I100" s="109">
        <f>MAX(I97-H98+H99,0)</f>
        <v>15.752890129815679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8144093.6007167995</v>
      </c>
      <c r="D103" s="109">
        <f>MIN(F103*(1-C94),E103)</f>
        <v>8.4300867739607028</v>
      </c>
      <c r="E103" s="123">
        <f>PV(C94,D93,0,-F94)</f>
        <v>9.9177491458361207</v>
      </c>
      <c r="F103" s="109">
        <f>(E103+H103)/2</f>
        <v>9.9177491458361207</v>
      </c>
      <c r="H103" s="123">
        <f>PV(C94,D93,0,-I94)</f>
        <v>9.9177491458361207</v>
      </c>
      <c r="I103" s="109">
        <f>PV(C93,D93,0,-I94)</f>
        <v>12.846627431384018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9065303.2944951337</v>
      </c>
      <c r="D106" s="109">
        <f>(D100+D103)/2</f>
        <v>9.3836462535425191</v>
      </c>
      <c r="E106" s="123">
        <f>(E100+E103)/2</f>
        <v>11.039583827697083</v>
      </c>
      <c r="F106" s="109">
        <f>(F100+F103)/2</f>
        <v>11.039583827697083</v>
      </c>
      <c r="H106" s="123">
        <f>(H100+H103)/2</f>
        <v>11.039583827697083</v>
      </c>
      <c r="I106" s="123">
        <f>(I100+I103)/2</f>
        <v>14.299758780599849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