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6EE9E3D-2BBD-4186-B712-3CA78F12945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6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<sst xmlns="http://schemas.openxmlformats.org/spreadsheetml/2006/main" count="390" uniqueCount="268">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</sst>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7" sqref="F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259</v>
      </c>
    </row>
    <row r="5" spans="1:5" ht="13.9" x14ac:dyDescent="0.4">
      <c r="B5" s="141" t="s">
        <v>196</v>
      </c>
      <c r="C5" s="191" t="s">
        <v>260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261</v>
      </c>
      <c r="E8" s="267"/>
    </row>
    <row r="9" spans="1:5" ht="13.9" x14ac:dyDescent="0.4">
      <c r="B9" s="140" t="s">
        <v>217</v>
      </c>
      <c r="C9" s="192" t="s">
        <v>262</v>
      </c>
    </row>
    <row r="10" spans="1:5" ht="13.9" x14ac:dyDescent="0.4">
      <c r="B10" s="140" t="s">
        <v>218</v>
      </c>
      <c r="C10" s="193">
        <v>10572780266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255</v>
      </c>
      <c r="C15" s="176" t="s">
        <v>190</v>
      </c>
    </row>
    <row r="16" spans="1:5" ht="13.9" x14ac:dyDescent="0.4">
      <c r="B16" s="222" t="s">
        <v>97</v>
      </c>
      <c r="C16" s="223">
        <v>0.22500000000000001</v>
      </c>
      <c r="D16" s="24"/>
    </row>
    <row r="17" spans="2:13" ht="13.9" x14ac:dyDescent="0.4">
      <c r="B17" s="240" t="s">
        <v>225</v>
      </c>
      <c r="C17" s="242" t="s">
        <v>263</v>
      </c>
      <c r="D17" s="24"/>
    </row>
    <row r="18" spans="2:13" ht="13.9" x14ac:dyDescent="0.4">
      <c r="B18" s="240" t="s">
        <v>239</v>
      </c>
      <c r="C18" s="242" t="s">
        <v>264</v>
      </c>
      <c r="D18" s="24"/>
    </row>
    <row r="19" spans="2:13" ht="13.9" x14ac:dyDescent="0.4">
      <c r="B19" s="240" t="s">
        <v>240</v>
      </c>
      <c r="C19" s="242" t="s">
        <v>264</v>
      </c>
      <c r="D19" s="24"/>
    </row>
    <row r="20" spans="2:13" ht="13.9" x14ac:dyDescent="0.4">
      <c r="B20" s="241" t="s">
        <v>229</v>
      </c>
      <c r="C20" s="242" t="s">
        <v>264</v>
      </c>
      <c r="D20" s="24"/>
    </row>
    <row r="21" spans="2:13" ht="13.9" x14ac:dyDescent="0.4">
      <c r="B21" s="224" t="s">
        <v>232</v>
      </c>
      <c r="C21" s="242" t="s">
        <v>263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142573</v>
      </c>
      <c r="D25" s="149">
        <v>77824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4079</v>
      </c>
      <c r="D26" s="150">
        <v>3197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16607</v>
      </c>
      <c r="D27" s="150">
        <v>16950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77411</v>
      </c>
      <c r="D29" s="150">
        <v>25020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2134</v>
      </c>
      <c r="D30" s="150">
        <v>1290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1.145+0.57</f>
        <v>1.7149999999999999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6.9433198380566802E-2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266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142573</v>
      </c>
      <c r="D91" s="209"/>
      <c r="E91" s="251">
        <f>C91</f>
        <v>142573</v>
      </c>
      <c r="F91" s="251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59">
        <f>C92/C91</f>
        <v>2.8609905101246377E-2</v>
      </c>
      <c r="E92" s="252">
        <f>E91*D92</f>
        <v>4078.9999999999995</v>
      </c>
      <c r="F92" s="252">
        <f>F91*D92</f>
        <v>4078.9999999999995</v>
      </c>
    </row>
    <row r="93" spans="2:8" ht="13.9" x14ac:dyDescent="0.4">
      <c r="B93" s="104" t="s">
        <v>247</v>
      </c>
      <c r="C93" s="77">
        <f>C27+C28</f>
        <v>16607</v>
      </c>
      <c r="D93" s="159">
        <f>C93/C91</f>
        <v>0.11648068007266453</v>
      </c>
      <c r="E93" s="252">
        <f>E91*D93</f>
        <v>16607</v>
      </c>
      <c r="F93" s="252">
        <f>F91*D93</f>
        <v>16607</v>
      </c>
    </row>
    <row r="94" spans="2:8" ht="13.9" x14ac:dyDescent="0.4">
      <c r="B94" s="104" t="s">
        <v>256</v>
      </c>
      <c r="C94" s="77">
        <f>C29</f>
        <v>77411</v>
      </c>
      <c r="D94" s="159">
        <f>C94/C91</f>
        <v>0.54295694135635775</v>
      </c>
      <c r="E94" s="253"/>
      <c r="F94" s="252">
        <f>F91*D94</f>
        <v>77411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59">
        <f>C97/C91</f>
        <v>1.9313252769435827E-2</v>
      </c>
      <c r="E97" s="253"/>
      <c r="F97" s="252">
        <f>F91*D97</f>
        <v>2753.5483870967741</v>
      </c>
    </row>
    <row r="98" spans="2:7" ht="13.9" x14ac:dyDescent="0.4">
      <c r="B98" s="86" t="s">
        <v>208</v>
      </c>
      <c r="C98" s="237">
        <f>C44</f>
        <v>1.7149999999999999</v>
      </c>
      <c r="D98" s="266"/>
      <c r="E98" s="254">
        <f>F98</f>
        <v>1.48</v>
      </c>
      <c r="F98" s="254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2388.HK</v>
      </c>
      <c r="D3" s="278"/>
      <c r="E3" s="87"/>
      <c r="F3" s="3" t="s">
        <v>1</v>
      </c>
      <c r="G3" s="132">
        <v>24.7</v>
      </c>
      <c r="H3" s="134" t="s">
        <v>267</v>
      </c>
    </row>
    <row r="4" spans="1:10" ht="15.75" customHeight="1" x14ac:dyDescent="0.4">
      <c r="B4" s="35" t="s">
        <v>196</v>
      </c>
      <c r="C4" s="279" t="str">
        <f>Inputs!C5</f>
        <v>中银香港</v>
      </c>
      <c r="D4" s="280"/>
      <c r="E4" s="87"/>
      <c r="F4" s="3" t="s">
        <v>3</v>
      </c>
      <c r="G4" s="283">
        <f>Inputs!C10</f>
        <v>10572780266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261147.67257019997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2.8609905101246377E-2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0.11648068007266453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1.9313252769435827E-2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0.54295694135635775</v>
      </c>
      <c r="F24" s="140" t="s">
        <v>258</v>
      </c>
      <c r="G24" s="268">
        <f>G3/(Fin_Analysis!H86*G7)</f>
        <v>8.076340813492541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0.48392649408781224</v>
      </c>
    </row>
    <row r="26" spans="1:8" ht="15.75" customHeight="1" x14ac:dyDescent="0.4">
      <c r="B26" s="138" t="s">
        <v>174</v>
      </c>
      <c r="C26" s="171">
        <f>Fin_Analysis!I83</f>
        <v>0.29263922070029547</v>
      </c>
      <c r="F26" s="141" t="s">
        <v>194</v>
      </c>
      <c r="G26" s="178">
        <f>Fin_Analysis!H88*Exchange_Rate/G3</f>
        <v>5.991902834008097E-2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257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12.676838237957096</v>
      </c>
      <c r="D29" s="129">
        <f>G29*(1+G20)</f>
        <v>22.83652079656747</v>
      </c>
      <c r="E29" s="87"/>
      <c r="F29" s="131">
        <f>IF(Fin_Analysis!C108="Profit",Fin_Analysis!F100,IF(Fin_Analysis!C108="Dividend",Fin_Analysis!F103,Fin_Analysis!F106))</f>
        <v>14.913927338773053</v>
      </c>
      <c r="G29" s="274">
        <f>IF(Fin_Analysis!C108="Profit",Fin_Analysis!I100,IF(Fin_Analysis!C108="Dividend",Fin_Analysis!I103,Fin_Analysis!I106))</f>
        <v>19.857844170928235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agree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142573</v>
      </c>
      <c r="D6" s="200">
        <f>IF(Inputs!D25="","",Inputs!D25)</f>
        <v>77824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4079</v>
      </c>
      <c r="D8" s="199">
        <f>IF(Inputs!D26="","",Inputs!D26)</f>
        <v>3197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138494</v>
      </c>
      <c r="D9" s="151">
        <f t="shared" si="2"/>
        <v>74627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16607</v>
      </c>
      <c r="D10" s="199">
        <f>IF(Inputs!D27="","",Inputs!D27)</f>
        <v>16950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2753.5483870967741</v>
      </c>
      <c r="D12" s="199">
        <f>IF(Inputs!D30="","",MAX(Inputs!D30,0)/(1-Fin_Analysis!$I$84))</f>
        <v>1664.516129032258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0.83559616205665332</v>
      </c>
      <c r="D13" s="229">
        <f t="shared" si="3"/>
        <v>0.71973278000318341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119133.45161290323</v>
      </c>
      <c r="D14" s="230">
        <f t="shared" ref="D14:M14" si="4">IF(D6="","",D9-D10-MAX(D11,0)-MAX(D12,0))</f>
        <v>56012.483870967742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1.1269089206496017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77411</v>
      </c>
      <c r="D17" s="199">
        <f>IF(Inputs!D29="","",Inputs!D29)</f>
        <v>25020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41722.451612903227</v>
      </c>
      <c r="D22" s="161">
        <f t="shared" ref="D22:M22" si="8">IF(D6="","",D14-MAX(D16,0)-MAX(D17,0)-ABS(MAX(D21,0)-MAX(D19,0)))</f>
        <v>30992.483870967742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0.226795396042729</v>
      </c>
      <c r="D23" s="153">
        <f t="shared" si="9"/>
        <v>0.30863454718338817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0.34621193275789042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2.8609905101246377E-2</v>
      </c>
      <c r="D42" s="156">
        <f t="shared" si="34"/>
        <v>4.1079872532894739E-2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0.11648068007266453</v>
      </c>
      <c r="D43" s="153">
        <f t="shared" si="35"/>
        <v>0.21779913651315788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0.54295694135635775</v>
      </c>
      <c r="D45" s="153">
        <f t="shared" si="37"/>
        <v>0.32149465460526316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1.9313252769435827E-2</v>
      </c>
      <c r="D46" s="153">
        <f t="shared" ref="D46:M46" si="38">IF(D6="","",MAX(D12,0)/D6)</f>
        <v>2.1388210950764007E-2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0.29263922070029547</v>
      </c>
      <c r="D48" s="153">
        <f t="shared" si="40"/>
        <v>0.3982381253979202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1.8553799455077948</v>
      </c>
      <c r="D55" s="153">
        <f t="shared" si="45"/>
        <v>0.80729250692415533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09"/>
      <c r="E74" s="238">
        <f>Inputs!E91</f>
        <v>142573</v>
      </c>
      <c r="F74" s="209"/>
      <c r="H74" s="238">
        <f>Inputs!F91</f>
        <v>142573</v>
      </c>
      <c r="I74" s="209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59">
        <f>C75/$C$74</f>
        <v>2.8609905101246377E-2</v>
      </c>
      <c r="E75" s="238">
        <f>Inputs!E92</f>
        <v>4078.9999999999995</v>
      </c>
      <c r="F75" s="160">
        <f>E75/E74</f>
        <v>2.8609905101246377E-2</v>
      </c>
      <c r="H75" s="238">
        <f>Inputs!F92</f>
        <v>4078.9999999999995</v>
      </c>
      <c r="I75" s="160">
        <f>H75/$H$74</f>
        <v>2.8609905101246377E-2</v>
      </c>
      <c r="K75" s="24"/>
    </row>
    <row r="76" spans="1:11" ht="15" customHeight="1" x14ac:dyDescent="0.4">
      <c r="B76" s="35" t="s">
        <v>96</v>
      </c>
      <c r="C76" s="161">
        <f>C74-C75</f>
        <v>138494</v>
      </c>
      <c r="D76" s="210"/>
      <c r="E76" s="162">
        <f>E74-E75</f>
        <v>138494</v>
      </c>
      <c r="F76" s="210"/>
      <c r="H76" s="162">
        <f>H74-H75</f>
        <v>138494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16607</v>
      </c>
      <c r="D77" s="159">
        <f>C77/$C$74</f>
        <v>0.11648068007266453</v>
      </c>
      <c r="E77" s="238">
        <f>Inputs!E93</f>
        <v>16607</v>
      </c>
      <c r="F77" s="160">
        <f>E77/E74</f>
        <v>0.11648068007266453</v>
      </c>
      <c r="H77" s="238">
        <f>Inputs!F93</f>
        <v>16607</v>
      </c>
      <c r="I77" s="160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59">
        <f>C78/$C$74</f>
        <v>1.9313252769435827E-2</v>
      </c>
      <c r="E78" s="180">
        <f>E74*F78</f>
        <v>2753.5483870967741</v>
      </c>
      <c r="F78" s="160">
        <f>I78</f>
        <v>1.9313252769435827E-2</v>
      </c>
      <c r="H78" s="238">
        <f>Inputs!F97</f>
        <v>2753.5483870967741</v>
      </c>
      <c r="I78" s="160">
        <f>H78/$H$74</f>
        <v>1.9313252769435827E-2</v>
      </c>
      <c r="K78" s="24"/>
    </row>
    <row r="79" spans="1:11" ht="15" customHeight="1" x14ac:dyDescent="0.4">
      <c r="B79" s="256" t="s">
        <v>233</v>
      </c>
      <c r="C79" s="257">
        <f>C76-C77-C78</f>
        <v>119133.45161290323</v>
      </c>
      <c r="D79" s="258">
        <f>C79/C74</f>
        <v>0.83559616205665332</v>
      </c>
      <c r="E79" s="259">
        <f>E76-E77-E78</f>
        <v>119133.45161290323</v>
      </c>
      <c r="F79" s="258">
        <f>E79/E74</f>
        <v>0.83559616205665332</v>
      </c>
      <c r="G79" s="260"/>
      <c r="H79" s="259">
        <f>H76-H77-H78</f>
        <v>119133.45161290323</v>
      </c>
      <c r="I79" s="258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256</v>
      </c>
      <c r="C81" s="77">
        <f>MAX(Data!C17,0)</f>
        <v>77411</v>
      </c>
      <c r="D81" s="159">
        <f>C81/$C$74</f>
        <v>0.54295694135635775</v>
      </c>
      <c r="E81" s="180">
        <f>E74*F81</f>
        <v>77411</v>
      </c>
      <c r="F81" s="160">
        <f>I81</f>
        <v>0.54295694135635775</v>
      </c>
      <c r="H81" s="238">
        <f>Inputs!F94</f>
        <v>77411</v>
      </c>
      <c r="I81" s="160">
        <f>H81/$H$74</f>
        <v>0.54295694135635775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41722.451612903227</v>
      </c>
      <c r="D83" s="164">
        <f>C83/$C$74</f>
        <v>0.29263922070029547</v>
      </c>
      <c r="E83" s="165">
        <f>E79-E81-E82-E80</f>
        <v>41722.451612903227</v>
      </c>
      <c r="F83" s="164">
        <f>E83/E74</f>
        <v>0.29263922070029547</v>
      </c>
      <c r="H83" s="165">
        <f>H79-H81-H82-H80</f>
        <v>41722.451612903227</v>
      </c>
      <c r="I83" s="164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0.22500000000000001</v>
      </c>
      <c r="E84" s="212"/>
      <c r="F84" s="179">
        <f t="shared" ref="F84" si="3">I84</f>
        <v>0.22500000000000001</v>
      </c>
      <c r="H84" s="212"/>
      <c r="I84" s="202">
        <f>Inputs!C16</f>
        <v>0.22500000000000001</v>
      </c>
      <c r="K84" s="24"/>
    </row>
    <row r="85" spans="1:11" ht="15" customHeight="1" x14ac:dyDescent="0.4">
      <c r="B85" s="263" t="s">
        <v>165</v>
      </c>
      <c r="C85" s="257">
        <f>C83*(1-I84)</f>
        <v>32334.9</v>
      </c>
      <c r="D85" s="258">
        <f>C85/$C$74</f>
        <v>0.226795396042729</v>
      </c>
      <c r="E85" s="264">
        <f>E83*(1-F84)</f>
        <v>32334.9</v>
      </c>
      <c r="F85" s="258">
        <f>E85/E74</f>
        <v>0.226795396042729</v>
      </c>
      <c r="G85" s="260"/>
      <c r="H85" s="264">
        <f>H83*(1-I84)</f>
        <v>32334.9</v>
      </c>
      <c r="I85" s="258">
        <f>H85/$H$74</f>
        <v>0.226795396042729</v>
      </c>
      <c r="K85" s="24"/>
    </row>
    <row r="86" spans="1:11" ht="15" customHeight="1" x14ac:dyDescent="0.4">
      <c r="B86" s="87" t="s">
        <v>161</v>
      </c>
      <c r="C86" s="167">
        <f>C85*Data!C4/Common_Shares</f>
        <v>3.0583157113349584</v>
      </c>
      <c r="D86" s="209"/>
      <c r="E86" s="168">
        <f>E85*Data!C4/Common_Shares</f>
        <v>3.0583157113349584</v>
      </c>
      <c r="F86" s="209"/>
      <c r="H86" s="168">
        <f>H85*Data!C4/Common_Shares</f>
        <v>3.0583157113349584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0.12381844985161775</v>
      </c>
      <c r="D87" s="209"/>
      <c r="E87" s="262">
        <f>E86*Exchange_Rate/Dashboard!G3</f>
        <v>0.12381844985161775</v>
      </c>
      <c r="F87" s="209"/>
      <c r="H87" s="262">
        <f>H86*Exchange_Rate/Dashboard!G3</f>
        <v>0.12381844985161775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1.7149999999999999</v>
      </c>
      <c r="D88" s="166">
        <f>C88/C86</f>
        <v>0.56076617389229588</v>
      </c>
      <c r="E88" s="170">
        <f>Inputs!E98</f>
        <v>1.48</v>
      </c>
      <c r="F88" s="166">
        <f>E88/E86</f>
        <v>0.48392649408781224</v>
      </c>
      <c r="H88" s="170">
        <f>Inputs!F98</f>
        <v>1.48</v>
      </c>
      <c r="I88" s="166">
        <f>H88/H86</f>
        <v>0.48392649408781224</v>
      </c>
      <c r="K88" s="24"/>
    </row>
    <row r="89" spans="1:11" ht="15" customHeight="1" x14ac:dyDescent="0.4">
      <c r="B89" s="87" t="s">
        <v>222</v>
      </c>
      <c r="C89" s="261">
        <f>C88*Exchange_Rate/Dashboard!G3</f>
        <v>6.9433198380566802E-2</v>
      </c>
      <c r="D89" s="209"/>
      <c r="E89" s="261">
        <f>E88*Exchange_Rate/Dashboard!G3</f>
        <v>5.991902834008097E-2</v>
      </c>
      <c r="F89" s="209"/>
      <c r="H89" s="261">
        <f>H88*Exchange_Rate/Dashboard!G3</f>
        <v>5.991902834008097E-2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83.065210247561211</v>
      </c>
      <c r="H93" s="87" t="s">
        <v>210</v>
      </c>
      <c r="I93" s="144">
        <f>FV(H87,D93,0,-(H86/(C93-D94)))*Exchange_Rate</f>
        <v>83.065210247561211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29.997234946693919</v>
      </c>
      <c r="H94" s="87" t="s">
        <v>211</v>
      </c>
      <c r="I94" s="144">
        <f>FV(H89,D93,0,-(H88/(C93-D94)))*Exchange_Rate</f>
        <v>29.997234946693919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436635.6314803267</v>
      </c>
      <c r="D97" s="213"/>
      <c r="E97" s="123">
        <f>PV(C94,D93,0,-F93)</f>
        <v>41.298090047748538</v>
      </c>
      <c r="F97" s="213"/>
      <c r="H97" s="123">
        <f>PV(C94,D93,0,-I93)</f>
        <v>41.298090047748538</v>
      </c>
      <c r="I97" s="123">
        <f>PV(C93,D93,0,-I93)</f>
        <v>54.988268220476677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436635.6314803267</v>
      </c>
      <c r="D100" s="109">
        <f>MIN(F100*(1-C94),E100)</f>
        <v>35.103376540586254</v>
      </c>
      <c r="E100" s="109">
        <f>MAX(E97-H98+E99,0)</f>
        <v>41.298090047748538</v>
      </c>
      <c r="F100" s="109">
        <f>(E100+H100)/2</f>
        <v>41.298090047748538</v>
      </c>
      <c r="H100" s="109">
        <f>MAX(C100*Data!$C$4/Common_Shares,0)</f>
        <v>41.298090047748538</v>
      </c>
      <c r="I100" s="109">
        <f>MAX(I97-H98+H99,0)</f>
        <v>54.988268220476677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157681.67665593763</v>
      </c>
      <c r="D103" s="109">
        <f>MIN(F103*(1-C94),E103)</f>
        <v>12.676838237957096</v>
      </c>
      <c r="E103" s="123">
        <f>PV(C94,D93,0,-F94)</f>
        <v>14.913927338773053</v>
      </c>
      <c r="F103" s="109">
        <f>(E103+H103)/2</f>
        <v>14.913927338773053</v>
      </c>
      <c r="H103" s="123">
        <f>PV(C94,D93,0,-I94)</f>
        <v>14.913927338773053</v>
      </c>
      <c r="I103" s="109">
        <f>PV(C93,D93,0,-I94)</f>
        <v>19.857844170928235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297158.65406813222</v>
      </c>
      <c r="D106" s="109">
        <f>(D100+D103)/2</f>
        <v>23.890107389271677</v>
      </c>
      <c r="E106" s="123">
        <f>(E100+E103)/2</f>
        <v>28.106008693260797</v>
      </c>
      <c r="F106" s="109">
        <f>(F100+F103)/2</f>
        <v>28.106008693260797</v>
      </c>
      <c r="H106" s="123">
        <f>(H100+H103)/2</f>
        <v>28.106008693260797</v>
      </c>
      <c r="I106" s="123">
        <f>(I100+I103)/2</f>
        <v>37.423056195702458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