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84859D-E86C-4044-9E6A-808E48E09CC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<sst xmlns="http://schemas.openxmlformats.org/spreadsheetml/2006/main" count="390" uniqueCount="269">
  <si>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</si>
  <si>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</si>
  <si>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</si>
  <si>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</si>
  <si>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</si>
  <si>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</si>
  <si>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</si>
  <si>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</si>
  <si>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</si>
  <si>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</si>
  <si>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</si>
  <si>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</si>
  <si>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</si>
  <si>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</si>
  <si>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</si>
  <si>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</si>
  <si>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</si>
  <si>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</si>
  <si>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</si>
  <si>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</si>
  <si>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</si>
  <si>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</si>
  <si>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</si>
  <si>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</si>
  <si>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</si>
  <si>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</si>
  <si>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</si>
  <si>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</si>
  <si>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</si>
  <si>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</si>
  <si>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</si>
  <si>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</si>
  <si>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</si>
  <si>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</si>
  <si>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</si>
  <si>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</si>
  <si>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</si>
  <si>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</si>
  <si>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</si>
  <si>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</si>
  <si>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</si>
  <si>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</si>
  <si>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</si>
  <si>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</si>
  <si>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</si>
  <si>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</si>
  <si>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</si>
  <si>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</si>
  <si>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</si>
  <si>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</si>
  <si>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</si>
  <si>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</si>
  <si>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</si>
  <si>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</si>
  <si>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</si>
  <si>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</si>
  <si>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</si>
  <si>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</si>
  <si>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</si>
  <si>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</si>
  <si>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</si>
  <si>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</si>
  <si>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</si>
  <si>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</si>
  <si>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</si>
  <si>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</si>
  <si>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</si>
  <si>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</si>
  <si>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</si>
  <si>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</si>
  <si>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</si>
  <si>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</si>
  <si>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</si>
  <si>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</si>
  <si>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</si>
  <si>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</si>
  <si>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</si>
  <si>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</si>
  <si>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</si>
  <si>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</si>
  <si>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</si>
  <si>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</si>
  <si>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</si>
  <si>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</si>
  <si>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</si>
  <si>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</si>
  <si>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</si>
  <si>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</si>
  <si>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</si>
  <si>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</si>
  <si>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</si>
  <si>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</si>
  <si>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</si>
  <si>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</si>
  <si>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</si>
  <si>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</si>
  <si>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</si>
  <si>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</si>
  <si>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</si>
  <si>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</si>
  <si>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</si>
  <si>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</si>
  <si>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</si>
  <si>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</si>
  <si>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</si>
  <si>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</si>
  <si>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</si>
  <si>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</si>
  <si>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</si>
  <si>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</si>
  <si>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</si>
  <si>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</si>
  <si>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</si>
  <si>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</si>
  <si>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</si>
  <si>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</si>
  <si>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</si>
  <si>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</si>
  <si>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</si>
  <si>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</si>
  <si>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</si>
  <si>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</si>
  <si>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</si>
  <si>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</si>
  <si>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</si>
  <si>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</si>
  <si>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</si>
  <si>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</si>
  <si>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</si>
  <si>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</si>
  <si>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</si>
  <si>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</si>
  <si>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</si>
  <si>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</si>
  <si>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</si>
  <si>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</si>
  <si>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</si>
  <si>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</si>
  <si>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</si>
  <si>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</si>
  <si>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</si>
  <si>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</si>
  <si>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</si>
  <si>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</si>
  <si>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</si>
  <si>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</si>
  <si>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</si>
  <si>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</si>
  <si>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</si>
  <si>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</si>
  <si>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</si>
  <si>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</si>
  <si>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</si>
  <si>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</si>
  <si>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</si>
  <si>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</si>
  <si>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</si>
  <si>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</si>
  <si>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</si>
  <si>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</si>
  <si>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</si>
  <si>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</si>
  <si>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</si>
  <si>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</si>
  <si>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</si>
  <si>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</si>
  <si>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</si>
  <si>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</si>
  <si>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</si>
  <si>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</si>
  <si>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</si>
  <si>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</si>
  <si>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</si>
  <si>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</si>
  <si>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</si>
  <si>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</si>
  <si>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</si>
  <si>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</si>
  <si>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</si>
  <si>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</si>
  <si>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</si>
  <si>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</si>
  <si>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</si>
  <si>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</si>
  <si>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</si>
  <si>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</si>
  <si>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</si>
  <si>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</si>
  <si>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</si>
  <si>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</si>
  <si>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</si>
  <si>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</si>
  <si>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</si>
  <si>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</si>
  <si>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</si>
  <si>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</si>
  <si>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</si>
  <si>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</si>
  <si>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</si>
  <si>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</si>
  <si>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</si>
  <si>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</si>
  <si>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</si>
  <si>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</si>
  <si>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</si>
  <si>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</si>
  <si>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</si>
  <si>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</si>
  <si>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</si>
  <si>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</si>
  <si>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</si>
  <si>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</si>
  <si>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</si>
  <si>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</si>
  <si>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</si>
  <si>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</si>
  <si>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</si>
  <si>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</si>
  <si>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</si>
  <si>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</si>
  <si>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</si>
  <si>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</si>
  <si>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</si>
  <si>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</si>
  <si>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</si>
  <si>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</si>
  <si>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</si>
  <si>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</si>
  <si>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</si>
  <si>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</si>
  <si>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</si>
  <si>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</si>
  <si>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</si>
  <si>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</si>
  <si>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</si>
  <si>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</si>
  <si>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</si>
  <si>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</si>
  <si>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</si>
  <si>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</si>
  <si>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</si>
  <si>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</si>
  <si>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</si>
  <si>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</si>
  <si>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</si>
  <si>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</si>
  <si>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</si>
  <si>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</si>
  <si>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</si>
  <si>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</si>
  <si>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</si>
  <si>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</si>
  <si>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</si>
  <si>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</si>
  <si>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</si>
  <si>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</si>
  <si>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</si>
  <si>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</si>
  <si>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</si>
  <si>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</si>
  <si>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</si>
  <si>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6186.HK</t>
  </si>
  <si>
    <t>中国飞鹤</t>
  </si>
  <si>
    <t>C0002</t>
  </si>
  <si>
    <t>CNY</t>
  </si>
  <si>
    <t>CN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</si>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</sst>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9067251704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6.1549719165905223E-2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112402</v>
      </c>
      <c r="D72" s="248">
        <v>0</v>
      </c>
      <c r="E72" s="249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6186.HK</v>
      </c>
      <c r="D3" s="278"/>
      <c r="E3" s="87"/>
      <c r="F3" s="3" t="s">
        <v>1</v>
      </c>
      <c r="G3" s="132">
        <v>5.42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中国飞鹤</v>
      </c>
      <c r="D4" s="280"/>
      <c r="E4" s="87"/>
      <c r="F4" s="3" t="s">
        <v>2</v>
      </c>
      <c r="G4" s="283">
        <f>Inputs!C10</f>
        <v>9067251704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49144.504235679997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0.35166796085418528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1.6973868100253597</v>
      </c>
    </row>
    <row r="24" spans="1:8" ht="15.75" customHeight="1" x14ac:dyDescent="0.4">
      <c r="B24" s="137" t="s">
        <v>170</v>
      </c>
      <c r="C24" s="171">
        <f>Fin_Analysis!I81</f>
        <v>2.7202256703967287E-3</v>
      </c>
      <c r="F24" s="140" t="s">
        <v>260</v>
      </c>
      <c r="G24" s="268">
        <f>G3/(Fin_Analysis!H86*G7)</f>
        <v>15.156304876812513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0.93286630876064991</v>
      </c>
    </row>
    <row r="26" spans="1:8" ht="15.75" customHeight="1" x14ac:dyDescent="0.4">
      <c r="B26" s="138" t="s">
        <v>173</v>
      </c>
      <c r="C26" s="171">
        <f>Fin_Analysis!I83</f>
        <v>0.2067479536230501</v>
      </c>
      <c r="F26" s="141" t="s">
        <v>193</v>
      </c>
      <c r="G26" s="178">
        <f>Fin_Analysis!H88*Exchange_Rate/G3</f>
        <v>6.1549719165905223E-2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3.7073488903757505</v>
      </c>
      <c r="D29" s="129">
        <f>G29*(1+G20)</f>
        <v>6.2865402767609719</v>
      </c>
      <c r="E29" s="87"/>
      <c r="F29" s="131">
        <f>IF(Fin_Analysis!C108="Profit",Fin_Analysis!F100,IF(Fin_Analysis!C108="Dividend",Fin_Analysis!F103,Fin_Analysis!F106))</f>
        <v>4.3615869298538241</v>
      </c>
      <c r="G29" s="274">
        <f>IF(Fin_Analysis!C108="Profit",Fin_Analysis!I100,IF(Fin_Analysis!C108="Dividend",Fin_Analysis!I103,Fin_Analysis!I106))</f>
        <v>5.4665567624008453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1.5792995802879992E-2</v>
      </c>
      <c r="D50" s="156">
        <f t="shared" si="41"/>
        <v>2.0232994960849439E-2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0.1095241023247608</v>
      </c>
      <c r="D51" s="153">
        <f t="shared" si="42"/>
        <v>0.10595777294217949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0.24054125361195433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2.9729097204175368</v>
      </c>
      <c r="D54" s="157">
        <f t="shared" si="44"/>
        <v>2.9732033660634771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1.3157207230966536E-2</v>
      </c>
      <c r="D55" s="153">
        <f t="shared" si="45"/>
        <v>6.9141487036622033E-3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3.3364014362803656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9647662.6870796196</v>
      </c>
      <c r="E6" s="56">
        <f>1-D6/D3</f>
        <v>0.64325664794846282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1.1391327873523676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1.6973868100253597</v>
      </c>
      <c r="E53" s="88">
        <f>IF(C53=0,0,MAX(C53,C53*Dashboard!G23))</f>
        <v>2421210.2569717141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1358347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95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160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6.5979142550100747E-2</v>
      </c>
      <c r="D87" s="209"/>
      <c r="E87" s="262">
        <f>E86*Exchange_Rate/Dashboard!G3</f>
        <v>6.5979142550100747E-2</v>
      </c>
      <c r="F87" s="209"/>
      <c r="H87" s="262">
        <f>H86*Exchange_Rate/Dashboard!G3</f>
        <v>6.5979142550100747E-2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221</v>
      </c>
      <c r="C89" s="261">
        <f>C88*Exchange_Rate/Dashboard!G3</f>
        <v>6.1549719165905223E-2</v>
      </c>
      <c r="D89" s="209"/>
      <c r="E89" s="261">
        <f>E88*Exchange_Rate/Dashboard!G3</f>
        <v>6.1549719165905223E-2</v>
      </c>
      <c r="F89" s="209"/>
      <c r="H89" s="261">
        <f>H88*Exchange_Rate/Dashboard!G3</f>
        <v>6.1549719165905223E-2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6.8362351529812999</v>
      </c>
      <c r="H93" s="87" t="s">
        <v>209</v>
      </c>
      <c r="I93" s="144">
        <f>FV(H87,D93,0,-(H86/(C93-D94)))*Exchange_Rate</f>
        <v>6.8362351529812999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6.2458933553315639</v>
      </c>
      <c r="H94" s="87" t="s">
        <v>210</v>
      </c>
      <c r="I94" s="144">
        <f>FV(H89,D93,0,-(H88/(C93-D94)))*Exchange_Rate</f>
        <v>6.2458933553315639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30817929.915699974</v>
      </c>
      <c r="D97" s="213"/>
      <c r="E97" s="123">
        <f>PV(C94,D93,0,-F93)</f>
        <v>3.3988170750906481</v>
      </c>
      <c r="F97" s="213"/>
      <c r="H97" s="123">
        <f>PV(C94,D93,0,-I93)</f>
        <v>3.3988170750906481</v>
      </c>
      <c r="I97" s="123">
        <f>PV(C93,D93,0,-I93)</f>
        <v>4.4025449755852692</v>
      </c>
      <c r="K97" s="24"/>
    </row>
    <row r="98" spans="2:11" ht="15" customHeight="1" x14ac:dyDescent="0.4">
      <c r="B98" s="28" t="s">
        <v>144</v>
      </c>
      <c r="C98" s="91">
        <f>E53*Exchange_Rate</f>
        <v>2592151.7251654132</v>
      </c>
      <c r="D98" s="213"/>
      <c r="E98" s="213"/>
      <c r="F98" s="213"/>
      <c r="H98" s="123">
        <f>C98*Data!$C$4/Common_Shares</f>
        <v>0.28588064054975898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12239814.412245031</v>
      </c>
      <c r="D99" s="214"/>
      <c r="E99" s="145">
        <f>IF(H99&gt;0,H99*(1-C94),H99*(1+C94))</f>
        <v>1.1474085632605349</v>
      </c>
      <c r="F99" s="214"/>
      <c r="H99" s="145">
        <f>C99*Data!$C$4/Common_Shares</f>
        <v>1.3498924273653352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40465592.602779597</v>
      </c>
      <c r="D100" s="109">
        <f>MIN(F100*(1-C94),E100)</f>
        <v>3.7073488903757505</v>
      </c>
      <c r="E100" s="109">
        <f>MAX(E97-H98+E99,0)</f>
        <v>4.2603449978014236</v>
      </c>
      <c r="F100" s="109">
        <f>(E100+H100)/2</f>
        <v>4.3615869298538241</v>
      </c>
      <c r="H100" s="109">
        <f>MAX(C100*Data!$C$4/Common_Shares,0)</f>
        <v>4.4628288619062246</v>
      </c>
      <c r="I100" s="109">
        <f>MAX(I97-H98+H99,0)</f>
        <v>5.4665567624008453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28156653.388612717</v>
      </c>
      <c r="D103" s="109">
        <f>MIN(F103*(1-C94),E103)</f>
        <v>2.6395159373112742</v>
      </c>
      <c r="E103" s="123">
        <f>PV(C94,D93,0,-F94)</f>
        <v>3.1053128674250288</v>
      </c>
      <c r="F103" s="109">
        <f>(E103+H103)/2</f>
        <v>3.1053128674250288</v>
      </c>
      <c r="H103" s="123">
        <f>PV(C94,D93,0,-I94)</f>
        <v>3.1053128674250288</v>
      </c>
      <c r="I103" s="109">
        <f>PV(C93,D93,0,-I94)</f>
        <v>4.0223640343273628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33393136.914777778</v>
      </c>
      <c r="D106" s="109">
        <f>(D100+D103)/2</f>
        <v>3.1734324138435124</v>
      </c>
      <c r="E106" s="123">
        <f>(E100+E103)/2</f>
        <v>3.6828289326132264</v>
      </c>
      <c r="F106" s="109">
        <f>(F100+F103)/2</f>
        <v>3.7334498986394262</v>
      </c>
      <c r="H106" s="123">
        <f>(H100+H103)/2</f>
        <v>3.7840708646656269</v>
      </c>
      <c r="I106" s="123">
        <f>(I100+I103)/2</f>
        <v>4.7444603983641045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