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FD26C5-F5BA-4BB3-867A-FCBCB7077B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0" i="4"/>
  <c r="D56" i="4" s="1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F94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<sst xmlns="http://schemas.openxmlformats.org/spreadsheetml/2006/main" count="390" uniqueCount="267">
  <si>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</si>
  <si>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</si>
  <si>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</si>
  <si>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</si>
  <si>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</si>
  <si>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</si>
  <si>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</si>
  <si>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</si>
  <si>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</si>
  <si>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</si>
  <si>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</si>
  <si>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</si>
  <si>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</si>
  <si>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</si>
  <si>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</si>
  <si>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</si>
  <si>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</si>
  <si>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</si>
  <si>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</si>
  <si>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</si>
  <si>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</si>
  <si>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</si>
  <si>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</si>
  <si>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</si>
  <si>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</si>
  <si>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</si>
  <si>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</si>
  <si>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</si>
  <si>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</si>
  <si>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</si>
  <si>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</si>
  <si>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</si>
  <si>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</si>
  <si>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</si>
  <si>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</si>
  <si>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</si>
  <si>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</si>
  <si>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</si>
  <si>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</si>
  <si>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</si>
  <si>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</si>
  <si>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</si>
  <si>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</si>
  <si>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</si>
  <si>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</si>
  <si>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</si>
  <si>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</si>
  <si>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</si>
  <si>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</si>
  <si>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</si>
  <si>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</si>
  <si>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</si>
  <si>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</si>
  <si>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</si>
  <si>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</si>
  <si>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</si>
  <si>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</si>
  <si>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</si>
  <si>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</si>
  <si>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</si>
  <si>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</si>
  <si>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</si>
  <si>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</si>
  <si>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</si>
  <si>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</si>
  <si>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</si>
  <si>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</si>
  <si>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</si>
  <si>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</si>
  <si>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</si>
  <si>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</si>
  <si>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</si>
  <si>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</si>
  <si>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</si>
  <si>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</si>
  <si>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</si>
  <si>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</si>
  <si>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</si>
  <si>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</si>
  <si>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</si>
  <si>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</si>
  <si>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</si>
  <si>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</si>
  <si>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</si>
  <si>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</si>
  <si>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</si>
  <si>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</si>
  <si>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</si>
  <si>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</si>
  <si>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</si>
  <si>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</si>
  <si>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</si>
  <si>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</si>
  <si>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</si>
  <si>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</si>
  <si>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</si>
  <si>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</si>
  <si>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</si>
  <si>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</si>
  <si>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</si>
  <si>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</si>
  <si>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</si>
  <si>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</si>
  <si>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</si>
  <si>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</si>
  <si>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</si>
  <si>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</si>
  <si>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</si>
  <si>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</si>
  <si>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</si>
  <si>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</si>
  <si>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</si>
  <si>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</si>
  <si>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</si>
  <si>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</si>
  <si>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</si>
  <si>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</si>
  <si>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</si>
  <si>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</si>
  <si>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</si>
  <si>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</si>
  <si>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</si>
  <si>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</si>
  <si>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</si>
  <si>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</si>
  <si>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</si>
  <si>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</si>
  <si>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</si>
  <si>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</si>
  <si>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</si>
  <si>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</si>
  <si>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</si>
  <si>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</si>
  <si>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</si>
  <si>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</si>
  <si>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</si>
  <si>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</si>
  <si>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</si>
  <si>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</si>
  <si>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</si>
  <si>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</si>
  <si>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</si>
  <si>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</si>
  <si>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</si>
  <si>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</si>
  <si>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</si>
  <si>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</si>
  <si>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</si>
  <si>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</si>
  <si>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</si>
  <si>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</si>
  <si>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</si>
  <si>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</si>
  <si>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</si>
  <si>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</si>
  <si>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</si>
  <si>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</si>
  <si>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</si>
  <si>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</si>
  <si>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</si>
  <si>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</si>
  <si>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</si>
  <si>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</si>
  <si>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</si>
  <si>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</si>
  <si>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</si>
  <si>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</si>
  <si>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</si>
  <si>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</si>
  <si>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</si>
  <si>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</si>
  <si>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</si>
  <si>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</si>
  <si>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</si>
  <si>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</si>
  <si>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</si>
  <si>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</si>
  <si>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</si>
  <si>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</si>
  <si>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</si>
  <si>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</si>
  <si>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</si>
  <si>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</si>
  <si>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</si>
  <si>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</si>
  <si>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</si>
  <si>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</si>
  <si>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</si>
  <si>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</si>
  <si>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</si>
  <si>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</si>
  <si>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</si>
  <si>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</si>
  <si>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</si>
  <si>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</si>
  <si>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</si>
  <si>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</si>
  <si>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</si>
  <si>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</si>
  <si>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</si>
  <si>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</si>
  <si>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</si>
  <si>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</si>
  <si>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</si>
  <si>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</si>
  <si>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</si>
  <si>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</si>
  <si>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</si>
  <si>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</si>
  <si>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</si>
  <si>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</si>
  <si>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</si>
  <si>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</si>
  <si>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</si>
  <si>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</si>
  <si>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</si>
  <si>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</si>
  <si>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</si>
  <si>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</si>
  <si>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</si>
  <si>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</si>
  <si>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</si>
  <si>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</si>
  <si>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</si>
  <si>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</si>
  <si>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</si>
  <si>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</si>
  <si>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</si>
  <si>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</si>
  <si>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</si>
  <si>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</si>
  <si>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</si>
  <si>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</si>
  <si>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</si>
  <si>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</si>
  <si>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</si>
  <si>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</si>
  <si>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</si>
  <si>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</si>
  <si>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</si>
  <si>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</si>
  <si>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</si>
  <si>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</si>
  <si>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</si>
  <si>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</si>
  <si>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</si>
  <si>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</si>
  <si>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</si>
  <si>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</si>
  <si>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</si>
  <si>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</si>
  <si>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</si>
  <si>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</si>
  <si>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</si>
  <si>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</si>
  <si>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</si>
  <si>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</si>
  <si>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</si>
  <si>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</si>
  <si>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</si>
  <si>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</si>
  <si>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9992.HK</t>
  </si>
  <si>
    <t>POP MART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</si>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</sst>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2" zoomScaleNormal="100" workbookViewId="0">
      <selection activeCell="E85" sqref="E8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3.2685793165606681E-3</v>
      </c>
      <c r="D45" s="152">
        <f>IF(D44="","",D44*Exchange_Rate/Dashboard!$G$3)</f>
        <v>1.0080340324026163E-3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92.4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124087.94706000002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139.07989205773868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3.2685793165606681E-3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4.0416818227592159</v>
      </c>
      <c r="D29" s="129">
        <f>G29*(1+G20)</f>
        <v>7.0829968018358569</v>
      </c>
      <c r="E29" s="87"/>
      <c r="F29" s="131">
        <f>IF(Fin_Analysis!C108="Profit",Fin_Analysis!F100,IF(Fin_Analysis!C108="Dividend",Fin_Analysis!F103,Fin_Analysis!F106))</f>
        <v>4.7549197914814307</v>
      </c>
      <c r="G29" s="274">
        <f>IF(Fin_Analysis!C108="Profit",Fin_Analysis!I100,IF(Fin_Analysis!C108="Dividend",Fin_Analysis!I103,Fin_Analysis!I106))</f>
        <v>6.1591276537703106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2.9102054432070305E-2</v>
      </c>
      <c r="D55" s="153">
        <f t="shared" si="45"/>
        <v>8.4097196033508959E-2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7.1901119939383647E-3</v>
      </c>
      <c r="D87" s="209"/>
      <c r="E87" s="262">
        <f>E86*Exchange_Rate/Dashboard!G3</f>
        <v>7.1901119939383647E-3</v>
      </c>
      <c r="F87" s="209"/>
      <c r="H87" s="262">
        <f>H86*Exchange_Rate/Dashboard!G3</f>
        <v>7.1901119939383647E-3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3.2685793165606681E-3</v>
      </c>
      <c r="D89" s="209"/>
      <c r="E89" s="261">
        <f>E88*Exchange_Rate/Dashboard!G3</f>
        <v>3.2685793165606681E-3</v>
      </c>
      <c r="F89" s="209"/>
      <c r="H89" s="261">
        <f>H88*Exchange_Rate/Dashboard!G3</f>
        <v>3.2685793165606681E-3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9.5638420985821746</v>
      </c>
      <c r="H93" s="87" t="s">
        <v>209</v>
      </c>
      <c r="I93" s="144">
        <f>FV(H87,D93,0,-(H86/(C93-D94)))*Exchange_Rate</f>
        <v>9.5638420985821746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4.263679568683254</v>
      </c>
      <c r="H94" s="87" t="s">
        <v>210</v>
      </c>
      <c r="I94" s="144">
        <f>FV(H89,D93,0,-(H88/(C93-D94)))*Exchange_Rate</f>
        <v>4.263679568683254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6385586.9627694162</v>
      </c>
      <c r="D97" s="213"/>
      <c r="E97" s="123">
        <f>PV(C94,D93,0,-F93)</f>
        <v>4.7549197914814307</v>
      </c>
      <c r="F97" s="213"/>
      <c r="H97" s="123">
        <f>PV(C94,D93,0,-I93)</f>
        <v>4.7549197914814307</v>
      </c>
      <c r="I97" s="123">
        <f>PV(C93,D93,0,-I93)</f>
        <v>6.1591276537703106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6385586.9627694162</v>
      </c>
      <c r="D100" s="109">
        <f>MIN(F100*(1-C94),E100)</f>
        <v>4.0416818227592159</v>
      </c>
      <c r="E100" s="109">
        <f>MAX(E97-H98+E99,0)</f>
        <v>4.7549197914814307</v>
      </c>
      <c r="F100" s="109">
        <f>(E100+H100)/2</f>
        <v>4.7549197914814307</v>
      </c>
      <c r="H100" s="109">
        <f>MAX(C100*Data!$C$4/Common_Shares,0)</f>
        <v>4.7549197914814307</v>
      </c>
      <c r="I100" s="109">
        <f>MAX(I97-H98+H99,0)</f>
        <v>6.1591276537703106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2846773.9624482444</v>
      </c>
      <c r="D103" s="109">
        <f>MIN(F103*(1-C94),E103)</f>
        <v>1.8018319450685667</v>
      </c>
      <c r="E103" s="123">
        <f>PV(C94,D93,0,-F94)</f>
        <v>2.1198022883159608</v>
      </c>
      <c r="F103" s="109">
        <f>(E103+H103)/2</f>
        <v>2.1198022883159608</v>
      </c>
      <c r="H103" s="123">
        <f>PV(C94,D93,0,-I94)</f>
        <v>2.1198022883159608</v>
      </c>
      <c r="I103" s="109">
        <f>PV(C93,D93,0,-I94)</f>
        <v>2.7458155903876316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4616180.4626088301</v>
      </c>
      <c r="D106" s="109">
        <f>(D100+D103)/2</f>
        <v>2.9217568839138912</v>
      </c>
      <c r="E106" s="123">
        <f>(E100+E103)/2</f>
        <v>3.437361039898696</v>
      </c>
      <c r="F106" s="109">
        <f>(F100+F103)/2</f>
        <v>3.437361039898696</v>
      </c>
      <c r="H106" s="123">
        <f>(H100+H103)/2</f>
        <v>3.437361039898696</v>
      </c>
      <c r="I106" s="123">
        <f>(I100+I103)/2</f>
        <v>4.4524716220789706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