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248E661D-006A-4FE1-A66B-D3EC4D4A04C6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E93" i="4"/>
  <c r="F91" i="4"/>
  <c r="F92" i="4" s="1"/>
  <c r="E91" i="4"/>
  <c r="E92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M52" i="2"/>
  <c r="F94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<sst xmlns="http://schemas.openxmlformats.org/spreadsheetml/2006/main" count="391" uniqueCount="272">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</sst>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36" zoomScaleNormal="100" workbookViewId="0">
      <selection activeCell="E66" sqref="E6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265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8171879936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0.20500000000000002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7.2681704260651625E-2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1" t="s">
        <v>46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1641</v>
      </c>
      <c r="D66" s="60">
        <v>0.3</v>
      </c>
      <c r="E66" s="221" t="s">
        <v>46</v>
      </c>
    </row>
    <row r="67" spans="2:5" ht="13.9" x14ac:dyDescent="0.4">
      <c r="B67" s="1" t="s">
        <v>49</v>
      </c>
      <c r="C67" s="59">
        <v>0</v>
      </c>
      <c r="D67" s="60">
        <v>0.2</v>
      </c>
      <c r="E67" s="221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0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8" sqref="C2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0083.HK</v>
      </c>
      <c r="D3" s="278"/>
      <c r="E3" s="87"/>
      <c r="F3" s="3" t="s">
        <v>1</v>
      </c>
      <c r="G3" s="132">
        <v>7.98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SINO LAND</v>
      </c>
      <c r="D4" s="280"/>
      <c r="E4" s="87"/>
      <c r="F4" s="3" t="s">
        <v>3</v>
      </c>
      <c r="G4" s="283">
        <f>Inputs!C10</f>
        <v>8171879936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65211.601889280006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0.60969766115231028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0.39209457832848316</v>
      </c>
    </row>
    <row r="24" spans="1:8" ht="15.75" customHeight="1" x14ac:dyDescent="0.4">
      <c r="B24" s="137" t="s">
        <v>171</v>
      </c>
      <c r="C24" s="171">
        <f>Fin_Analysis!I81</f>
        <v>1.0724472333143184E-2</v>
      </c>
      <c r="F24" s="140" t="s">
        <v>259</v>
      </c>
      <c r="G24" s="268">
        <f>G3/(Fin_Analysis!H86*G7)</f>
        <v>34.580855376711007</v>
      </c>
    </row>
    <row r="25" spans="1:8" ht="15.75" customHeight="1" x14ac:dyDescent="0.4">
      <c r="B25" s="137" t="s">
        <v>244</v>
      </c>
      <c r="C25" s="171">
        <f>Fin_Analysis!I82</f>
        <v>1.038220193953223E-2</v>
      </c>
      <c r="F25" s="140" t="s">
        <v>175</v>
      </c>
      <c r="G25" s="171">
        <f>Fin_Analysis!I88</f>
        <v>2.5133955035704743</v>
      </c>
    </row>
    <row r="26" spans="1:8" ht="15.75" customHeight="1" x14ac:dyDescent="0.4">
      <c r="B26" s="138" t="s">
        <v>174</v>
      </c>
      <c r="C26" s="171">
        <f>Fin_Analysis!I83</f>
        <v>0.22552196235025673</v>
      </c>
      <c r="F26" s="141" t="s">
        <v>194</v>
      </c>
      <c r="G26" s="178">
        <f>Fin_Analysis!H88*Exchange_Rate/G3</f>
        <v>7.2681704260651625E-2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7.4334581218246143</v>
      </c>
      <c r="D29" s="129">
        <f>G29*(1+G20)</f>
        <v>12.460432389942453</v>
      </c>
      <c r="E29" s="87"/>
      <c r="F29" s="131">
        <f>IF(Fin_Analysis!C108="Profit",Fin_Analysis!F100,IF(Fin_Analysis!C108="Dividend",Fin_Analysis!F103,Fin_Analysis!F106))</f>
        <v>8.7452448492054291</v>
      </c>
      <c r="G29" s="274">
        <f>IF(Fin_Analysis!C108="Profit",Fin_Analysis!I100,IF(Fin_Analysis!C108="Dividend",Fin_Analysis!I103,Fin_Analysis!I106))</f>
        <v>10.83515859994996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199">
        <f>IF(Inputs!D34="","",Inputs!D34)</f>
        <v>67641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199">
        <f>IF(Inputs!D35="","",Inputs!D35)</f>
        <v>7251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199">
        <f>IF(Inputs!D36="","",Inputs!D36)</f>
        <v>16389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199">
        <f>IF(Inputs!D37="","",Inputs!D37)</f>
        <v>10902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199">
        <f>IF(Inputs!D38="","",Inputs!D38)</f>
        <v>5263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199">
        <f>IF(Inputs!D41="","",Inputs!D41)</f>
        <v>163105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199">
        <f>IF(Inputs!D42="","",Inputs!D42)</f>
        <v>756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139541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40803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5.727520035291523E-2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0.60969766115231028</v>
      </c>
      <c r="D42" s="156">
        <f t="shared" si="34"/>
        <v>0.54641865162865078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0.12367370222475756</v>
      </c>
      <c r="D43" s="153">
        <f t="shared" si="35"/>
        <v>9.5025671239794635E-2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0.1038220193953223</v>
      </c>
      <c r="D44" s="153">
        <f t="shared" si="36"/>
        <v>0.21387088628903292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1.0724472333143184E-2</v>
      </c>
      <c r="D45" s="153">
        <f t="shared" si="37"/>
        <v>8.0801279353589772E-3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3.2820226152532532E-3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1.038220193953223E-2</v>
      </c>
      <c r="D47" s="153">
        <f t="shared" ref="D47:M47" si="39">IF(D6="","",ABS(MAX(D21,0)-MAX(D19,0))/D6)</f>
        <v>7.5751199393990403E-3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0.1416999429549344</v>
      </c>
      <c r="D48" s="153">
        <f t="shared" si="40"/>
        <v>0.12574752035251038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0.93462635482030809</v>
      </c>
      <c r="D50" s="156">
        <f t="shared" si="41"/>
        <v>0.61030216311758267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0.73029092983456934</v>
      </c>
      <c r="D51" s="153">
        <f t="shared" si="42"/>
        <v>1.3794293409645653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-0.2920410783055199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7.7784678170607288E-2</v>
      </c>
      <c r="D54" s="156">
        <f t="shared" ref="D54:M54" si="44">IF(D36="","",(D27-D36)/D27)</f>
        <v>9.0171250069727232E-2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1.4325259515570934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7.5684380032206122E-2</v>
      </c>
      <c r="D56" s="153">
        <f t="shared" si="46"/>
        <v>6.4256757610072962E-2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9.0093374264517774</v>
      </c>
      <c r="D57" s="158">
        <f t="shared" si="47"/>
        <v>6.2044578976334614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28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84515.700000000012</v>
      </c>
      <c r="E6" s="56">
        <f>1-D6/D3</f>
        <v>0.49183662425743757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10.342259145007587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8">
        <f>Inputs!D66</f>
        <v>0.3</v>
      </c>
      <c r="E36" s="88">
        <f t="shared" si="1"/>
        <v>492.29999999999995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0.2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0.21301652892561981</v>
      </c>
      <c r="E46" s="88">
        <f>E36+E37+E38+E39</f>
        <v>618.59999999999991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0.39676186663512547</v>
      </c>
      <c r="E48" s="76">
        <f>SUM(E30:E42)</f>
        <v>43607.700000000004</v>
      </c>
      <c r="F48" s="87"/>
      <c r="G48" s="87"/>
      <c r="H48" s="80" t="s">
        <v>85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0.54933737745641664</v>
      </c>
      <c r="E49" s="88">
        <f>E28+E48</f>
        <v>99069.700000000012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867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93967</v>
      </c>
      <c r="D61" s="56">
        <f t="shared" ref="D61:D70" si="2">IF(E61=0,0,E61/C61)</f>
        <v>0.40197196888269282</v>
      </c>
      <c r="E61" s="52">
        <f>E14+E15+(E19*G19)+(E20*G20)+E31+E32+(E35*G35)+(E36*G36)+(E37*G37)</f>
        <v>37772.1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139541</v>
      </c>
      <c r="D63" s="29">
        <f t="shared" si="2"/>
        <v>0.56462760049017846</v>
      </c>
      <c r="E63" s="61">
        <f>E61+E62</f>
        <v>78788.7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138674</v>
      </c>
      <c r="D65" s="29">
        <f t="shared" si="2"/>
        <v>0.56190562037584546</v>
      </c>
      <c r="E65" s="61">
        <f>E63-E64</f>
        <v>77921.7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40803</v>
      </c>
      <c r="D68" s="29">
        <f t="shared" si="2"/>
        <v>0.49704678577555605</v>
      </c>
      <c r="E68" s="68">
        <f>E49-E63</f>
        <v>20281.000000000015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27642</v>
      </c>
      <c r="D70" s="29">
        <f t="shared" si="2"/>
        <v>0.25757904637869961</v>
      </c>
      <c r="E70" s="68">
        <f>E68-E69</f>
        <v>7120.0000000000146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96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165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161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1.5141324110952637E-2</v>
      </c>
      <c r="D87" s="209"/>
      <c r="E87" s="262">
        <f>E86*Exchange_Rate/Dashboard!G3</f>
        <v>2.4098112214267376E-2</v>
      </c>
      <c r="F87" s="209"/>
      <c r="H87" s="262">
        <f>H86*Exchange_Rate/Dashboard!G3</f>
        <v>2.8917734657120855E-2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222</v>
      </c>
      <c r="C89" s="261">
        <f>C88*Exchange_Rate/Dashboard!G3</f>
        <v>7.2681704260651625E-2</v>
      </c>
      <c r="D89" s="209"/>
      <c r="E89" s="261">
        <f>E88*Exchange_Rate/Dashboard!G3</f>
        <v>7.2681704260651625E-2</v>
      </c>
      <c r="F89" s="209"/>
      <c r="H89" s="261">
        <f>H88*Exchange_Rate/Dashboard!G3</f>
        <v>7.2681704260651625E-2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3.5730738293660291</v>
      </c>
      <c r="H93" s="87" t="s">
        <v>210</v>
      </c>
      <c r="I93" s="144">
        <f>FV(H87,D93,0,-(H86/(C93-D94)))*Exchange_Rate</f>
        <v>4.3895365802608168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13.587220036457229</v>
      </c>
      <c r="H94" s="87" t="s">
        <v>211</v>
      </c>
      <c r="I94" s="144">
        <f>FV(H89,D93,0,-(H88/(C93-D94)))*Exchange_Rate</f>
        <v>13.587220036457229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17834.110287072737</v>
      </c>
      <c r="D97" s="213"/>
      <c r="E97" s="123">
        <f>PV(C94,D93,0,-F93)</f>
        <v>1.7764491814639614</v>
      </c>
      <c r="F97" s="213"/>
      <c r="H97" s="123">
        <f>PV(C94,D93,0,-I93)</f>
        <v>2.1823754664464929</v>
      </c>
      <c r="I97" s="123">
        <f>PV(C93,D93,0,-I93)</f>
        <v>2.9788155994223482</v>
      </c>
      <c r="K97" s="24"/>
    </row>
    <row r="98" spans="2:11" ht="15" customHeight="1" x14ac:dyDescent="0.4">
      <c r="B98" s="28" t="s">
        <v>145</v>
      </c>
      <c r="C98" s="91">
        <f>-E53*Exchange_Rate</f>
        <v>-526</v>
      </c>
      <c r="D98" s="213"/>
      <c r="E98" s="213"/>
      <c r="F98" s="213"/>
      <c r="H98" s="123">
        <f>C98*Data!$C$4/Common_Shares</f>
        <v>-6.4367073931517929E-2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77921.7</v>
      </c>
      <c r="D99" s="214"/>
      <c r="E99" s="145">
        <f>IF(H99&gt;0,H99*(1-C94),H99*(1+C94))</f>
        <v>8.1050438232968176</v>
      </c>
      <c r="F99" s="214"/>
      <c r="H99" s="145">
        <f>C99*Data!$C$4/Common_Shares</f>
        <v>9.5353456744668446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95229.810287072731</v>
      </c>
      <c r="D100" s="109">
        <f>MIN(F100*(1-C94),E100)</f>
        <v>9.1249539990697102</v>
      </c>
      <c r="E100" s="109">
        <f>MAX(E97+H98+E99,0)</f>
        <v>9.8171259308292615</v>
      </c>
      <c r="F100" s="109">
        <f>(E100+H100)/2</f>
        <v>10.735239998905541</v>
      </c>
      <c r="H100" s="109">
        <f>MAX(C100*Data!$C$4/Common_Shares,0)</f>
        <v>11.653354066981819</v>
      </c>
      <c r="I100" s="109">
        <f>MAX(I97+H98+H99,0)</f>
        <v>12.449794199957674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55203.089482057519</v>
      </c>
      <c r="D103" s="109">
        <f>MIN(F103*(1-C94),E103)</f>
        <v>5.7419622445795184</v>
      </c>
      <c r="E103" s="123">
        <f>PV(C94,D93,0,-F94)</f>
        <v>6.755249699505316</v>
      </c>
      <c r="F103" s="109">
        <f>(E103+H103)/2</f>
        <v>6.755249699505316</v>
      </c>
      <c r="H103" s="123">
        <f>PV(C94,D93,0,-I94)</f>
        <v>6.755249699505316</v>
      </c>
      <c r="I103" s="109">
        <f>PV(C93,D93,0,-I94)</f>
        <v>9.2205229999422436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67713.731952693241</v>
      </c>
      <c r="D106" s="109">
        <f>(D100+D103)/2</f>
        <v>7.4334581218246143</v>
      </c>
      <c r="E106" s="123">
        <f>(E100+E103)/2</f>
        <v>8.2861878151672883</v>
      </c>
      <c r="F106" s="109">
        <f>(F100+F103)/2</f>
        <v>8.7452448492054291</v>
      </c>
      <c r="H106" s="123">
        <f>(H100+H103)/2</f>
        <v>9.2043018832435681</v>
      </c>
      <c r="I106" s="123">
        <f>(I100+I103)/2</f>
        <v>10.83515859994996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2024-12-13T10:10:05Z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