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777A94CC-2462-2444-989E-80CB32F2FF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4" i="4" l="1"/>
  <c r="C45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<sst xmlns="http://schemas.openxmlformats.org/spreadsheetml/2006/main" count="390" uniqueCount="266">
  <si>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</si>
  <si>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</si>
  <si>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</si>
  <si>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</si>
  <si>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</si>
  <si>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</si>
  <si>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</si>
  <si>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</si>
  <si>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</si>
  <si>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</si>
  <si>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</si>
  <si>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</si>
  <si>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</si>
  <si>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</si>
  <si>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</si>
  <si>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</si>
  <si>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</si>
  <si>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</si>
  <si>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</si>
  <si>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</si>
  <si>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</si>
  <si>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</si>
  <si>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</si>
  <si>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</si>
  <si>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</si>
  <si>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</si>
  <si>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</si>
  <si>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</si>
  <si>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</si>
  <si>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</si>
  <si>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</si>
  <si>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</si>
  <si>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</si>
  <si>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</si>
  <si>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</si>
  <si>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</si>
  <si>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</si>
  <si>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</si>
  <si>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</si>
  <si>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</si>
  <si>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</si>
  <si>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</si>
  <si>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</si>
  <si>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</si>
  <si>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</si>
  <si>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</si>
  <si>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</si>
  <si>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</si>
  <si>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</si>
  <si>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</si>
  <si>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</si>
  <si>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</si>
  <si>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</si>
  <si>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</si>
  <si>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</si>
  <si>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</si>
  <si>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</si>
  <si>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</si>
  <si>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</si>
  <si>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</si>
  <si>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</si>
  <si>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</si>
  <si>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</si>
  <si>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</si>
  <si>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</si>
  <si>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</si>
  <si>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</si>
  <si>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</si>
  <si>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</si>
  <si>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</si>
  <si>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</si>
  <si>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</si>
  <si>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</si>
  <si>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</si>
  <si>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</si>
  <si>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</si>
  <si>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</si>
  <si>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</si>
  <si>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</si>
  <si>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</si>
  <si>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</si>
  <si>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</si>
  <si>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</si>
  <si>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</si>
  <si>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</si>
  <si>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</si>
  <si>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</si>
  <si>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</si>
  <si>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</si>
  <si>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</si>
  <si>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</si>
  <si>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</si>
  <si>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</si>
  <si>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</si>
  <si>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</si>
  <si>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</si>
  <si>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</si>
  <si>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</si>
  <si>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</si>
  <si>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</si>
  <si>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</si>
  <si>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</si>
  <si>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</si>
  <si>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</si>
  <si>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</si>
  <si>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</si>
  <si>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</si>
  <si>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</si>
  <si>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</si>
  <si>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</si>
  <si>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</si>
  <si>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</si>
  <si>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</si>
  <si>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</si>
  <si>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</si>
  <si>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</si>
  <si>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</si>
  <si>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</si>
  <si>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</si>
  <si>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</si>
  <si>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</si>
  <si>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</si>
  <si>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</si>
  <si>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</si>
  <si>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</si>
  <si>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</si>
  <si>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</si>
  <si>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</si>
  <si>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</si>
  <si>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</si>
  <si>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</si>
  <si>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</si>
  <si>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</si>
  <si>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</si>
  <si>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</si>
  <si>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</si>
  <si>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</si>
  <si>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</si>
  <si>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</si>
  <si>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</si>
  <si>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</si>
  <si>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</si>
  <si>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</si>
  <si>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</si>
  <si>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</si>
  <si>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</si>
  <si>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</si>
  <si>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</si>
  <si>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</si>
  <si>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</si>
  <si>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</si>
  <si>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</si>
  <si>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</si>
  <si>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</si>
  <si>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</si>
  <si>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</si>
  <si>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</si>
  <si>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</si>
  <si>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</si>
  <si>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</si>
  <si>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</si>
  <si>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</si>
  <si>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</si>
  <si>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</si>
  <si>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</si>
  <si>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</si>
  <si>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</si>
  <si>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</si>
  <si>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</si>
  <si>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</si>
  <si>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</si>
  <si>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</si>
  <si>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</si>
  <si>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</si>
  <si>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</si>
  <si>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</si>
  <si>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</si>
  <si>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</si>
  <si>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</si>
  <si>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</si>
  <si>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</si>
  <si>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</si>
  <si>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</si>
  <si>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</si>
  <si>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</si>
  <si>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</si>
  <si>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</si>
  <si>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</si>
  <si>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</si>
  <si>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</si>
  <si>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</si>
  <si>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</si>
  <si>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</si>
  <si>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</si>
  <si>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</si>
  <si>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</si>
  <si>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</si>
  <si>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</si>
  <si>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</si>
  <si>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</si>
  <si>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</si>
  <si>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</si>
  <si>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</si>
  <si>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</si>
  <si>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</si>
  <si>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</si>
  <si>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</si>
  <si>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</si>
  <si>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</si>
  <si>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</si>
  <si>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</si>
  <si>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</si>
  <si>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</si>
  <si>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</si>
  <si>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</si>
  <si>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</si>
  <si>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</si>
  <si>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</si>
  <si>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</si>
  <si>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</si>
  <si>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</si>
  <si>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</si>
  <si>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</si>
  <si>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</si>
  <si>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</si>
  <si>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</si>
  <si>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</si>
  <si>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</si>
  <si>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</si>
  <si>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</si>
  <si>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</si>
  <si>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</si>
  <si>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</si>
  <si>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</si>
  <si>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</si>
  <si>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</si>
  <si>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</si>
  <si>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</si>
  <si>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</si>
  <si>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</si>
  <si>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</si>
  <si>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</si>
  <si>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</si>
  <si>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</si>
  <si>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</si>
  <si>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</si>
  <si>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</si>
  <si>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</si>
  <si>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</si>
  <si>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</si>
  <si>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</si>
  <si>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</si>
  <si>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</si>
  <si>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</si>
  <si>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</si>
  <si>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</si>
  <si>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</si>
  <si>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</si>
  <si>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</si>
  <si>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</si>
  <si>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</si>
  <si>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</si>
  <si>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3606.HK</t>
  </si>
  <si>
    <t>CNY</t>
  </si>
  <si>
    <t>福耀玻璃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</si>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</sst>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0.646070039633309</c:v>
                </c:pt>
                <c:pt idx="1">
                  <c:v>5.2294478730373475E-2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0.30163548163631754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G13" sqref="G13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215</v>
      </c>
    </row>
    <row r="4" spans="1:5" ht="14" x14ac:dyDescent="0.15">
      <c r="B4" s="141" t="s">
        <v>195</v>
      </c>
      <c r="C4" s="188" t="s">
        <v>262</v>
      </c>
    </row>
    <row r="5" spans="1:5" ht="14" x14ac:dyDescent="0.15">
      <c r="B5" s="141" t="s">
        <v>196</v>
      </c>
      <c r="C5" s="191" t="s">
        <v>264</v>
      </c>
    </row>
    <row r="6" spans="1:5" ht="14" x14ac:dyDescent="0.15">
      <c r="B6" s="141" t="s">
        <v>164</v>
      </c>
      <c r="C6" s="189">
        <v>45633</v>
      </c>
    </row>
    <row r="7" spans="1:5" ht="14" x14ac:dyDescent="0.15">
      <c r="B7" s="140" t="s">
        <v>4</v>
      </c>
      <c r="C7" s="190">
        <v>8</v>
      </c>
    </row>
    <row r="8" spans="1:5" ht="14" x14ac:dyDescent="0.15">
      <c r="B8" s="140" t="s">
        <v>216</v>
      </c>
      <c r="C8" s="191" t="s">
        <v>71</v>
      </c>
      <c r="E8" s="267"/>
    </row>
    <row r="9" spans="1:5" ht="14" x14ac:dyDescent="0.15">
      <c r="B9" s="140" t="s">
        <v>217</v>
      </c>
      <c r="C9" s="192" t="s">
        <v>265</v>
      </c>
    </row>
    <row r="10" spans="1:5" ht="14" x14ac:dyDescent="0.15">
      <c r="B10" s="140" t="s">
        <v>218</v>
      </c>
      <c r="C10" s="193">
        <v>2609743532</v>
      </c>
    </row>
    <row r="11" spans="1:5" ht="14" x14ac:dyDescent="0.15">
      <c r="B11" s="140" t="s">
        <v>219</v>
      </c>
      <c r="C11" s="192" t="s">
        <v>263</v>
      </c>
    </row>
    <row r="12" spans="1:5" ht="14" x14ac:dyDescent="0.15">
      <c r="B12" s="218" t="s">
        <v>10</v>
      </c>
      <c r="C12" s="219">
        <v>45291</v>
      </c>
    </row>
    <row r="13" spans="1:5" ht="14" x14ac:dyDescent="0.15">
      <c r="B13" s="218" t="s">
        <v>11</v>
      </c>
      <c r="C13" s="220">
        <v>1000</v>
      </c>
    </row>
    <row r="14" spans="1:5" ht="14" x14ac:dyDescent="0.15">
      <c r="B14" s="218" t="s">
        <v>220</v>
      </c>
      <c r="C14" s="219">
        <v>45473</v>
      </c>
    </row>
    <row r="15" spans="1:5" ht="14" x14ac:dyDescent="0.15">
      <c r="B15" s="218" t="s">
        <v>257</v>
      </c>
      <c r="C15" s="176" t="s">
        <v>190</v>
      </c>
    </row>
    <row r="16" spans="1:5" ht="14" x14ac:dyDescent="0.15">
      <c r="B16" s="222" t="s">
        <v>97</v>
      </c>
      <c r="C16" s="223">
        <v>0.25</v>
      </c>
      <c r="D16" s="24"/>
    </row>
    <row r="17" spans="2:13" ht="14" x14ac:dyDescent="0.15">
      <c r="B17" s="240" t="s">
        <v>225</v>
      </c>
      <c r="C17" s="242" t="s">
        <v>246</v>
      </c>
      <c r="D17" s="24"/>
    </row>
    <row r="18" spans="2:13" ht="14" x14ac:dyDescent="0.15">
      <c r="B18" s="240" t="s">
        <v>239</v>
      </c>
      <c r="C18" s="242" t="s">
        <v>246</v>
      </c>
      <c r="D18" s="24"/>
    </row>
    <row r="19" spans="2:13" ht="14" x14ac:dyDescent="0.15">
      <c r="B19" s="240" t="s">
        <v>240</v>
      </c>
      <c r="C19" s="242" t="s">
        <v>246</v>
      </c>
      <c r="D19" s="24"/>
    </row>
    <row r="20" spans="2:13" ht="14" x14ac:dyDescent="0.15">
      <c r="B20" s="241" t="s">
        <v>229</v>
      </c>
      <c r="C20" s="242" t="s">
        <v>246</v>
      </c>
      <c r="D20" s="24"/>
    </row>
    <row r="21" spans="2:13" ht="14" x14ac:dyDescent="0.15">
      <c r="B21" s="224" t="s">
        <v>232</v>
      </c>
      <c r="C21" s="242" t="s">
        <v>246</v>
      </c>
      <c r="D21" s="24"/>
    </row>
    <row r="22" spans="2:13" ht="84" x14ac:dyDescent="0.15">
      <c r="B22" s="226" t="s">
        <v>231</v>
      </c>
      <c r="C22" s="243" t="s">
        <v>260</v>
      </c>
      <c r="D22" s="24"/>
    </row>
    <row r="24" spans="2:13" ht="15" x14ac:dyDescent="0.15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49">
        <v>33160996</v>
      </c>
      <c r="D25" s="149">
        <v>28098754</v>
      </c>
      <c r="E25" s="149">
        <v>23603063</v>
      </c>
      <c r="F25" s="149">
        <v>19906593</v>
      </c>
      <c r="G25" s="149"/>
      <c r="H25" s="149"/>
      <c r="I25" s="149"/>
      <c r="J25" s="149"/>
      <c r="K25" s="149"/>
      <c r="L25" s="149"/>
      <c r="M25" s="149"/>
    </row>
    <row r="26" spans="2:13" ht="15" x14ac:dyDescent="0.15">
      <c r="B26" s="97" t="s">
        <v>106</v>
      </c>
      <c r="C26" s="150">
        <v>21424326</v>
      </c>
      <c r="D26" s="150">
        <v>18535445</v>
      </c>
      <c r="E26" s="150">
        <v>15129053</v>
      </c>
      <c r="F26" s="150">
        <v>12640913</v>
      </c>
      <c r="G26" s="150"/>
      <c r="H26" s="150"/>
      <c r="I26" s="150"/>
      <c r="J26" s="150"/>
      <c r="K26" s="150"/>
      <c r="L26" s="150"/>
      <c r="M26" s="150"/>
    </row>
    <row r="27" spans="2:13" ht="15" x14ac:dyDescent="0.15">
      <c r="B27" s="97" t="s">
        <v>104</v>
      </c>
      <c r="C27" s="150">
        <v>1734137</v>
      </c>
      <c r="D27" s="150">
        <v>1682699</v>
      </c>
      <c r="E27" s="150">
        <v>1486658</v>
      </c>
      <c r="F27" s="150">
        <v>1838041</v>
      </c>
      <c r="G27" s="150"/>
      <c r="H27" s="150"/>
      <c r="I27" s="150"/>
      <c r="J27" s="150"/>
      <c r="K27" s="150"/>
      <c r="L27" s="150"/>
      <c r="M27" s="150"/>
    </row>
    <row r="28" spans="2:13" ht="15" x14ac:dyDescent="0.15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5" x14ac:dyDescent="0.15">
      <c r="B29" s="97" t="s">
        <v>258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4" x14ac:dyDescent="0.15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5" x14ac:dyDescent="0.15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5" x14ac:dyDescent="0.15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5" x14ac:dyDescent="0.15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5" x14ac:dyDescent="0.15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5" x14ac:dyDescent="0.15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5" x14ac:dyDescent="0.15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5" x14ac:dyDescent="0.15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5" x14ac:dyDescent="0.15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5" x14ac:dyDescent="0.15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5" x14ac:dyDescent="0.15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5" x14ac:dyDescent="0.15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5" x14ac:dyDescent="0.15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5" x14ac:dyDescent="0.15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4" x14ac:dyDescent="0.15">
      <c r="B44" s="74" t="s">
        <v>208</v>
      </c>
      <c r="C44" s="250">
        <f>1.3</f>
        <v>1.3</v>
      </c>
      <c r="D44" s="250">
        <v>1.25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4" x14ac:dyDescent="0.15">
      <c r="B45" s="74" t="s">
        <v>254</v>
      </c>
      <c r="C45" s="152">
        <f>IF(C44="","",C44*Exchange_Rate/Dashboard!$G$3)</f>
        <v>2.6697196606897861E-2</v>
      </c>
      <c r="D45" s="152">
        <f>IF(D44="","",D44*Exchange_Rate/Dashboard!$G$3)</f>
        <v>2.5670381352786407E-2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4" x14ac:dyDescent="0.15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4" x14ac:dyDescent="0.15">
      <c r="B48" s="3" t="s">
        <v>38</v>
      </c>
      <c r="C48" s="59"/>
      <c r="D48" s="60">
        <v>0.9</v>
      </c>
      <c r="E48" s="112"/>
    </row>
    <row r="49" spans="2:5" ht="14" x14ac:dyDescent="0.15">
      <c r="B49" s="1" t="s">
        <v>136</v>
      </c>
      <c r="C49" s="59"/>
      <c r="D49" s="60">
        <v>0.8</v>
      </c>
      <c r="E49" s="112"/>
    </row>
    <row r="50" spans="2:5" ht="14" x14ac:dyDescent="0.15">
      <c r="B50" s="3" t="s">
        <v>117</v>
      </c>
      <c r="C50" s="59"/>
      <c r="D50" s="60">
        <f>D51</f>
        <v>0.6</v>
      </c>
      <c r="E50" s="112"/>
    </row>
    <row r="51" spans="2:5" ht="14" x14ac:dyDescent="0.15">
      <c r="B51" s="3" t="s">
        <v>42</v>
      </c>
      <c r="C51" s="59"/>
      <c r="D51" s="60">
        <v>0.6</v>
      </c>
      <c r="E51" s="112"/>
    </row>
    <row r="52" spans="2:5" ht="14" x14ac:dyDescent="0.15">
      <c r="B52" s="3" t="s">
        <v>44</v>
      </c>
      <c r="C52" s="59"/>
      <c r="D52" s="60">
        <v>0.5</v>
      </c>
      <c r="E52" s="112"/>
    </row>
    <row r="53" spans="2:5" ht="14" x14ac:dyDescent="0.15">
      <c r="B53" s="1" t="s">
        <v>159</v>
      </c>
      <c r="C53" s="59"/>
      <c r="D53" s="60">
        <f>D50</f>
        <v>0.6</v>
      </c>
      <c r="E53" s="112"/>
    </row>
    <row r="54" spans="2:5" ht="14" x14ac:dyDescent="0.15">
      <c r="B54" s="3" t="s">
        <v>118</v>
      </c>
      <c r="C54" s="59"/>
      <c r="D54" s="60">
        <v>0.1</v>
      </c>
      <c r="E54" s="112"/>
    </row>
    <row r="55" spans="2:5" ht="14" x14ac:dyDescent="0.15">
      <c r="B55" s="3" t="s">
        <v>47</v>
      </c>
      <c r="C55" s="59"/>
      <c r="D55" s="60">
        <f>D52</f>
        <v>0.5</v>
      </c>
      <c r="E55" s="112"/>
    </row>
    <row r="56" spans="2:5" ht="14" x14ac:dyDescent="0.15">
      <c r="B56" s="1" t="s">
        <v>48</v>
      </c>
      <c r="C56" s="59"/>
      <c r="D56" s="60">
        <f>D50</f>
        <v>0.6</v>
      </c>
      <c r="E56" s="221" t="s">
        <v>71</v>
      </c>
    </row>
    <row r="57" spans="2:5" ht="14" x14ac:dyDescent="0.15">
      <c r="B57" s="3" t="s">
        <v>120</v>
      </c>
      <c r="C57" s="59"/>
      <c r="D57" s="60">
        <v>0.6</v>
      </c>
      <c r="E57" s="221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2"/>
    </row>
    <row r="59" spans="2:5" ht="14" x14ac:dyDescent="0.15">
      <c r="B59" s="35" t="s">
        <v>51</v>
      </c>
      <c r="C59" s="120"/>
      <c r="D59" s="195">
        <f>D70</f>
        <v>0.05</v>
      </c>
      <c r="E59" s="112"/>
    </row>
    <row r="60" spans="2:5" ht="14" x14ac:dyDescent="0.15">
      <c r="B60" s="3" t="s">
        <v>61</v>
      </c>
      <c r="C60" s="59"/>
      <c r="D60" s="60">
        <f>D49</f>
        <v>0.8</v>
      </c>
      <c r="E60" s="112"/>
    </row>
    <row r="61" spans="2:5" ht="14" x14ac:dyDescent="0.15">
      <c r="B61" s="3" t="s">
        <v>63</v>
      </c>
      <c r="C61" s="59"/>
      <c r="D61" s="60">
        <f>D51</f>
        <v>0.6</v>
      </c>
      <c r="E61" s="112"/>
    </row>
    <row r="62" spans="2:5" ht="14" x14ac:dyDescent="0.15">
      <c r="B62" s="3" t="s">
        <v>65</v>
      </c>
      <c r="C62" s="59"/>
      <c r="D62" s="60">
        <f>D52</f>
        <v>0.5</v>
      </c>
      <c r="E62" s="112"/>
    </row>
    <row r="63" spans="2:5" ht="14" x14ac:dyDescent="0.15">
      <c r="B63" s="1" t="s">
        <v>160</v>
      </c>
      <c r="C63" s="59"/>
      <c r="D63" s="60">
        <f>D62</f>
        <v>0.5</v>
      </c>
      <c r="E63" s="112"/>
    </row>
    <row r="64" spans="2:5" ht="14" x14ac:dyDescent="0.15">
      <c r="B64" s="3" t="s">
        <v>68</v>
      </c>
      <c r="C64" s="59"/>
      <c r="D64" s="60">
        <v>0.4</v>
      </c>
      <c r="E64" s="112"/>
    </row>
    <row r="65" spans="2:5" ht="14" x14ac:dyDescent="0.15">
      <c r="B65" s="3" t="s">
        <v>70</v>
      </c>
      <c r="C65" s="59"/>
      <c r="D65" s="60">
        <v>0.1</v>
      </c>
      <c r="E65" s="221" t="s">
        <v>71</v>
      </c>
    </row>
    <row r="66" spans="2:5" ht="14" x14ac:dyDescent="0.15">
      <c r="B66" s="3" t="s">
        <v>72</v>
      </c>
      <c r="C66" s="59"/>
      <c r="D66" s="60">
        <v>0.2</v>
      </c>
      <c r="E66" s="221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21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2"/>
    </row>
    <row r="69" spans="2:5" ht="14" x14ac:dyDescent="0.15">
      <c r="B69" s="3" t="s">
        <v>73</v>
      </c>
      <c r="C69" s="59"/>
      <c r="D69" s="60">
        <f>D70</f>
        <v>0.05</v>
      </c>
      <c r="E69" s="112"/>
    </row>
    <row r="70" spans="2:5" ht="14" x14ac:dyDescent="0.15">
      <c r="B70" s="3" t="s">
        <v>74</v>
      </c>
      <c r="C70" s="59"/>
      <c r="D70" s="60">
        <v>0.05</v>
      </c>
      <c r="E70" s="112"/>
    </row>
    <row r="71" spans="2:5" ht="14" x14ac:dyDescent="0.15">
      <c r="B71" s="3" t="s">
        <v>75</v>
      </c>
      <c r="C71" s="59"/>
      <c r="D71" s="60">
        <f>D58</f>
        <v>0.9</v>
      </c>
      <c r="E71" s="112"/>
    </row>
    <row r="72" spans="2:5" ht="15" thickBot="1" x14ac:dyDescent="0.2">
      <c r="B72" s="246" t="s">
        <v>76</v>
      </c>
      <c r="C72" s="247"/>
      <c r="D72" s="248">
        <v>0</v>
      </c>
      <c r="E72" s="249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20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20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221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251</v>
      </c>
      <c r="C86" s="197">
        <v>5</v>
      </c>
    </row>
    <row r="87" spans="2:8" ht="14" x14ac:dyDescent="0.15">
      <c r="B87" s="10" t="s">
        <v>249</v>
      </c>
      <c r="C87" s="236" t="s">
        <v>252</v>
      </c>
      <c r="D87" s="269">
        <v>0.02</v>
      </c>
    </row>
    <row r="89" spans="2:8" ht="14" x14ac:dyDescent="0.1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4" x14ac:dyDescent="0.15">
      <c r="B90" s="12" t="str">
        <f>"(Numbers in "&amp;Data!C4&amp;Dashboard!G6&amp;")"</f>
        <v>(Numbers in 1000CNY)</v>
      </c>
      <c r="C90" s="272" t="s">
        <v>101</v>
      </c>
      <c r="D90" s="272"/>
      <c r="E90" s="235" t="s">
        <v>102</v>
      </c>
      <c r="F90" s="255" t="s">
        <v>102</v>
      </c>
    </row>
    <row r="91" spans="2:8" ht="14" x14ac:dyDescent="0.15">
      <c r="B91" s="3" t="s">
        <v>127</v>
      </c>
      <c r="C91" s="77">
        <f>C25</f>
        <v>33160996</v>
      </c>
      <c r="D91" s="209"/>
      <c r="E91" s="251">
        <f>C91</f>
        <v>33160996</v>
      </c>
      <c r="F91" s="251">
        <f>C91</f>
        <v>33160996</v>
      </c>
    </row>
    <row r="92" spans="2:8" ht="14" x14ac:dyDescent="0.15">
      <c r="B92" s="104" t="s">
        <v>106</v>
      </c>
      <c r="C92" s="77">
        <f>C26</f>
        <v>21424326</v>
      </c>
      <c r="D92" s="159">
        <f>C92/C91</f>
        <v>0.646070039633309</v>
      </c>
      <c r="E92" s="252">
        <f>E91*D92</f>
        <v>21424326</v>
      </c>
      <c r="F92" s="252">
        <f>F91*D92</f>
        <v>21424326</v>
      </c>
    </row>
    <row r="93" spans="2:8" ht="14" x14ac:dyDescent="0.15">
      <c r="B93" s="104" t="s">
        <v>248</v>
      </c>
      <c r="C93" s="77">
        <f>C27+C28</f>
        <v>1734137</v>
      </c>
      <c r="D93" s="159">
        <f>C93/C91</f>
        <v>5.2294478730373475E-2</v>
      </c>
      <c r="E93" s="252">
        <f>E91*D93</f>
        <v>1734137</v>
      </c>
      <c r="F93" s="252">
        <f>F91*D93</f>
        <v>1734137</v>
      </c>
    </row>
    <row r="94" spans="2:8" ht="14" x14ac:dyDescent="0.15">
      <c r="B94" s="104" t="s">
        <v>258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4" x14ac:dyDescent="0.15">
      <c r="B95" s="28" t="s">
        <v>247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4" x14ac:dyDescent="0.15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4" x14ac:dyDescent="0.15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4" x14ac:dyDescent="0.15">
      <c r="B98" s="86" t="s">
        <v>208</v>
      </c>
      <c r="C98" s="237">
        <f>C44</f>
        <v>1.3</v>
      </c>
      <c r="D98" s="266"/>
      <c r="E98" s="254">
        <f>F98</f>
        <v>1.3</v>
      </c>
      <c r="F98" s="254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3606.HK : 福耀玻璃</v>
      </c>
      <c r="D2" s="87"/>
      <c r="E2" s="7"/>
      <c r="F2" s="7"/>
      <c r="G2" s="86"/>
      <c r="H2" s="86"/>
    </row>
    <row r="3" spans="1:10" ht="15.75" customHeight="1" x14ac:dyDescent="0.15">
      <c r="B3" s="3" t="s">
        <v>195</v>
      </c>
      <c r="C3" s="277" t="str">
        <f>Inputs!C4</f>
        <v>3606.HK</v>
      </c>
      <c r="D3" s="278"/>
      <c r="E3" s="87"/>
      <c r="F3" s="3" t="s">
        <v>1</v>
      </c>
      <c r="G3" s="132">
        <v>52.15</v>
      </c>
      <c r="H3" s="134" t="s">
        <v>2</v>
      </c>
    </row>
    <row r="4" spans="1:10" ht="15.75" customHeight="1" x14ac:dyDescent="0.15">
      <c r="B4" s="35" t="s">
        <v>196</v>
      </c>
      <c r="C4" s="279" t="str">
        <f>Inputs!C5</f>
        <v>福耀玻璃</v>
      </c>
      <c r="D4" s="280"/>
      <c r="E4" s="87"/>
      <c r="F4" s="3" t="s">
        <v>3</v>
      </c>
      <c r="G4" s="283">
        <f>Inputs!C10</f>
        <v>2609743532</v>
      </c>
      <c r="H4" s="283"/>
      <c r="I4" s="39"/>
    </row>
    <row r="5" spans="1:10" ht="15.75" customHeight="1" x14ac:dyDescent="0.15">
      <c r="B5" s="3" t="s">
        <v>164</v>
      </c>
      <c r="C5" s="281">
        <f>Inputs!C6</f>
        <v>45633</v>
      </c>
      <c r="D5" s="282"/>
      <c r="E5" s="34"/>
      <c r="F5" s="35" t="s">
        <v>100</v>
      </c>
      <c r="G5" s="275">
        <f>G3*G4/1000000</f>
        <v>136098.12519379999</v>
      </c>
      <c r="H5" s="275"/>
      <c r="I5" s="38"/>
      <c r="J5" s="28"/>
    </row>
    <row r="6" spans="1:10" ht="15.75" customHeight="1" x14ac:dyDescent="0.15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CNY</v>
      </c>
      <c r="H6" s="276"/>
      <c r="I6" s="38"/>
    </row>
    <row r="7" spans="1:10" ht="15.75" customHeight="1" x14ac:dyDescent="0.15">
      <c r="B7" s="86" t="s">
        <v>193</v>
      </c>
      <c r="C7" s="187" t="str">
        <f>Inputs!C8</f>
        <v>N</v>
      </c>
      <c r="D7" s="187" t="str">
        <f>Inputs!C9</f>
        <v>C0006</v>
      </c>
      <c r="E7" s="87"/>
      <c r="F7" s="35" t="s">
        <v>6</v>
      </c>
      <c r="G7" s="133">
        <v>1.0709683100382488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39" t="s">
        <v>191</v>
      </c>
      <c r="F9" s="143" t="s">
        <v>186</v>
      </c>
    </row>
    <row r="10" spans="1:10" ht="15.75" customHeight="1" x14ac:dyDescent="0.15">
      <c r="B10" s="1" t="s">
        <v>176</v>
      </c>
      <c r="C10" s="172">
        <v>4.2099999999999999E-2</v>
      </c>
      <c r="F10" s="110" t="s">
        <v>183</v>
      </c>
    </row>
    <row r="11" spans="1:10" ht="15.75" customHeight="1" thickBot="1" x14ac:dyDescent="0.2">
      <c r="B11" s="122" t="s">
        <v>180</v>
      </c>
      <c r="C11" s="173">
        <v>5.3099999999999994E-2</v>
      </c>
      <c r="D11" s="137" t="s">
        <v>190</v>
      </c>
      <c r="F11" s="110" t="s">
        <v>178</v>
      </c>
    </row>
    <row r="12" spans="1:10" ht="15.75" customHeight="1" thickTop="1" x14ac:dyDescent="0.15">
      <c r="B12" s="87" t="s">
        <v>255</v>
      </c>
      <c r="C12" s="174">
        <v>0.08</v>
      </c>
      <c r="D12" s="172">
        <v>8.5999999999999993E-2</v>
      </c>
      <c r="F12" s="110"/>
    </row>
    <row r="13" spans="1:10" ht="15.75" customHeight="1" x14ac:dyDescent="0.15"/>
    <row r="14" spans="1:10" ht="15.75" customHeight="1" x14ac:dyDescent="0.15">
      <c r="B14" s="1" t="s">
        <v>177</v>
      </c>
      <c r="C14" s="172">
        <v>2.1309999999999999E-2</v>
      </c>
      <c r="F14" s="110" t="s">
        <v>182</v>
      </c>
    </row>
    <row r="15" spans="1:10" ht="15.75" customHeight="1" x14ac:dyDescent="0.15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2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15">
      <c r="B17" s="87" t="s">
        <v>256</v>
      </c>
      <c r="C17" s="175">
        <v>9.1999999999999998E-2</v>
      </c>
      <c r="D17" s="176"/>
    </row>
    <row r="18" spans="1:8" ht="15.75" customHeight="1" x14ac:dyDescent="0.15"/>
    <row r="19" spans="1:8" ht="15.75" customHeight="1" x14ac:dyDescent="0.15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15">
      <c r="B20" s="137" t="s">
        <v>170</v>
      </c>
      <c r="C20" s="171">
        <f>Fin_Analysis!I75</f>
        <v>0.646070039633309</v>
      </c>
      <c r="F20" s="87" t="s">
        <v>212</v>
      </c>
      <c r="G20" s="172">
        <v>0.15</v>
      </c>
    </row>
    <row r="21" spans="1:8" ht="15.75" customHeight="1" x14ac:dyDescent="0.15">
      <c r="B21" s="137" t="s">
        <v>245</v>
      </c>
      <c r="C21" s="171">
        <f>Fin_Analysis!I77</f>
        <v>5.2294478730373475E-2</v>
      </c>
      <c r="F21" s="87"/>
      <c r="G21" s="29"/>
    </row>
    <row r="22" spans="1:8" ht="15.75" customHeight="1" x14ac:dyDescent="0.15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15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15">
      <c r="B24" s="137" t="s">
        <v>171</v>
      </c>
      <c r="C24" s="171">
        <f>Fin_Analysis!I81</f>
        <v>0</v>
      </c>
      <c r="F24" s="140" t="s">
        <v>261</v>
      </c>
      <c r="G24" s="268">
        <f>G3/(Fin_Analysis!H86*G7)</f>
        <v>16.939643497486813</v>
      </c>
    </row>
    <row r="25" spans="1:8" ht="15.75" customHeight="1" x14ac:dyDescent="0.15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0.45224099290316433</v>
      </c>
    </row>
    <row r="26" spans="1:8" ht="15.75" customHeight="1" x14ac:dyDescent="0.15">
      <c r="B26" s="138" t="s">
        <v>174</v>
      </c>
      <c r="C26" s="171">
        <f>Fin_Analysis!I83</f>
        <v>0.30163548163631754</v>
      </c>
      <c r="F26" s="141" t="s">
        <v>194</v>
      </c>
      <c r="G26" s="178">
        <f>Fin_Analysis!H88*Exchange_Rate/G3</f>
        <v>2.6697196606897861E-2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15">
      <c r="B29" s="87" t="s">
        <v>169</v>
      </c>
      <c r="C29" s="130">
        <f>IF(Fin_Analysis!C108="Profit",Fin_Analysis!D100,IF(Fin_Analysis!C108="Dividend",Fin_Analysis!D103,Fin_Analysis!D106))</f>
        <v>26.259324252400283</v>
      </c>
      <c r="D29" s="129">
        <f>G29*(1+G20)</f>
        <v>47.304508674584632</v>
      </c>
      <c r="E29" s="87"/>
      <c r="F29" s="131">
        <f>IF(Fin_Analysis!C108="Profit",Fin_Analysis!F100,IF(Fin_Analysis!C108="Dividend",Fin_Analysis!F103,Fin_Analysis!F106))</f>
        <v>30.893322649882688</v>
      </c>
      <c r="G29" s="274">
        <f>IF(Fin_Analysis!C108="Profit",Fin_Analysis!I100,IF(Fin_Analysis!C108="Dividend",Fin_Analysis!I103,Fin_Analysis!I106))</f>
        <v>41.13435536920403</v>
      </c>
      <c r="H29" s="274"/>
    </row>
    <row r="30" spans="1:8" ht="15.75" customHeight="1" x14ac:dyDescent="0.15"/>
    <row r="31" spans="1:8" ht="15.75" customHeight="1" x14ac:dyDescent="0.2">
      <c r="A31" s="5"/>
      <c r="B31" s="6" t="s">
        <v>223</v>
      </c>
      <c r="C31"/>
    </row>
    <row r="32" spans="1:8" ht="15.75" customHeight="1" x14ac:dyDescent="0.15">
      <c r="A32"/>
      <c r="B32" s="196" t="s">
        <v>224</v>
      </c>
      <c r="C32" s="224"/>
    </row>
    <row r="33" spans="1:3" ht="15.75" customHeight="1" x14ac:dyDescent="0.15">
      <c r="A33"/>
      <c r="B33" s="20" t="s">
        <v>225</v>
      </c>
      <c r="C33" s="245" t="str">
        <f>Inputs!C17</f>
        <v>unclear</v>
      </c>
    </row>
    <row r="34" spans="1:3" ht="15.75" customHeight="1" x14ac:dyDescent="0.15">
      <c r="A34"/>
      <c r="B34" s="19" t="s">
        <v>226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6" t="s">
        <v>227</v>
      </c>
      <c r="C35" s="224"/>
    </row>
    <row r="36" spans="1:3" ht="15.75" customHeight="1" x14ac:dyDescent="0.15">
      <c r="A36"/>
      <c r="B36" s="20" t="s">
        <v>239</v>
      </c>
      <c r="C36" s="245" t="str">
        <f>Inputs!C18</f>
        <v>unclear</v>
      </c>
    </row>
    <row r="37" spans="1:3" ht="15.75" customHeight="1" x14ac:dyDescent="0.15">
      <c r="A37"/>
      <c r="B37" s="20" t="s">
        <v>240</v>
      </c>
      <c r="C37" s="245" t="str">
        <f>Inputs!C19</f>
        <v>unclear</v>
      </c>
    </row>
    <row r="38" spans="1:3" ht="15.75" customHeight="1" x14ac:dyDescent="0.15">
      <c r="A38"/>
      <c r="B38" s="196" t="s">
        <v>228</v>
      </c>
      <c r="C38" s="224"/>
    </row>
    <row r="39" spans="1:3" ht="15.75" customHeight="1" x14ac:dyDescent="0.15">
      <c r="A39"/>
      <c r="B39" s="19" t="s">
        <v>229</v>
      </c>
      <c r="C39" s="245" t="str">
        <f>Inputs!C20</f>
        <v>unclear</v>
      </c>
    </row>
    <row r="40" spans="1:3" ht="15.75" customHeight="1" x14ac:dyDescent="0.15">
      <c r="A40"/>
      <c r="B40" s="1" t="s">
        <v>232</v>
      </c>
      <c r="C40" s="245" t="str">
        <f>Inputs!C21</f>
        <v>unclear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230</v>
      </c>
      <c r="C42"/>
    </row>
    <row r="43" spans="1:3" ht="70" x14ac:dyDescent="0.15">
      <c r="A43"/>
      <c r="B43" s="226" t="s">
        <v>231</v>
      </c>
      <c r="C43" s="244" t="str">
        <f>Inputs!C22</f>
        <v>Unclear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18" sqref="D18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10002533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CNY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0">
        <f>IF(Inputs!C25=""," ",Inputs!C25)</f>
        <v>33160996</v>
      </c>
      <c r="D6" s="200">
        <f>IF(Inputs!D25="","",Inputs!D25)</f>
        <v>28098754</v>
      </c>
      <c r="E6" s="200">
        <f>IF(Inputs!E25="","",Inputs!E25)</f>
        <v>23603063</v>
      </c>
      <c r="F6" s="200">
        <f>IF(Inputs!F25="","",Inputs!F25)</f>
        <v>19906593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0.18015894939683097</v>
      </c>
      <c r="D7" s="92">
        <f t="shared" si="1"/>
        <v>0.19047066052401762</v>
      </c>
      <c r="E7" s="92">
        <f t="shared" si="1"/>
        <v>0.18569074075106684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199">
        <f>IF(Inputs!C26="","",Inputs!C26)</f>
        <v>21424326</v>
      </c>
      <c r="D8" s="199">
        <f>IF(Inputs!D26="","",Inputs!D26)</f>
        <v>18535445</v>
      </c>
      <c r="E8" s="199">
        <f>IF(Inputs!E26="","",Inputs!E26)</f>
        <v>15129053</v>
      </c>
      <c r="F8" s="199">
        <f>IF(Inputs!F26="","",Inputs!F26)</f>
        <v>12640913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51">
        <f t="shared" ref="C9:M9" si="2">IF(C6="","",(C6-C8))</f>
        <v>11736670</v>
      </c>
      <c r="D9" s="151">
        <f t="shared" si="2"/>
        <v>9563309</v>
      </c>
      <c r="E9" s="151">
        <f t="shared" si="2"/>
        <v>8474010</v>
      </c>
      <c r="F9" s="151">
        <f t="shared" si="2"/>
        <v>7265680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199">
        <f>IF(Inputs!C27="","",Inputs!C27)</f>
        <v>1734137</v>
      </c>
      <c r="D10" s="199">
        <f>IF(Inputs!D27="","",Inputs!D27)</f>
        <v>1682699</v>
      </c>
      <c r="E10" s="199">
        <f>IF(Inputs!E27="","",Inputs!E27)</f>
        <v>1486658</v>
      </c>
      <c r="F10" s="199">
        <f>IF(Inputs!F27="","",Inputs!F27)</f>
        <v>1838041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15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15">
      <c r="A13" s="4"/>
      <c r="B13" s="228" t="s">
        <v>242</v>
      </c>
      <c r="C13" s="229">
        <f t="shared" ref="C13:M13" si="3">IF(C14="","",C14/C6)</f>
        <v>0.30163548163631754</v>
      </c>
      <c r="D13" s="229">
        <f t="shared" si="3"/>
        <v>0.28046119055670582</v>
      </c>
      <c r="E13" s="229">
        <f t="shared" si="3"/>
        <v>0.29603581535159229</v>
      </c>
      <c r="F13" s="229">
        <f t="shared" si="3"/>
        <v>0.27265534589469931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15">
      <c r="A14" s="4"/>
      <c r="B14" s="228" t="s">
        <v>234</v>
      </c>
      <c r="C14" s="230">
        <f>IF(C6="","",C9-C10-MAX(C11,0)-MAX(C12,0))</f>
        <v>10002533</v>
      </c>
      <c r="D14" s="230">
        <f t="shared" ref="D14:M14" si="4">IF(D6="","",D9-D10-MAX(D11,0)-MAX(D12,0))</f>
        <v>7880610</v>
      </c>
      <c r="E14" s="230">
        <f t="shared" si="4"/>
        <v>6987352</v>
      </c>
      <c r="F14" s="230">
        <f t="shared" si="4"/>
        <v>5427639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15">
      <c r="A15" s="4"/>
      <c r="B15" s="231" t="s">
        <v>243</v>
      </c>
      <c r="C15" s="232">
        <f>IF(D14="","",IF(ABS(C14+D14)=ABS(C14)+ABS(D14),IF(C14&lt;0,-1,1)*(C14-D14)/D14,"Turn"))</f>
        <v>0.26925872489566161</v>
      </c>
      <c r="D15" s="232">
        <f t="shared" ref="D15:M15" si="5">IF(E14="","",IF(ABS(D14+E14)=ABS(D14)+ABS(E14),IF(D14&lt;0,-1,1)*(D14-E14)/E14,"Turn"))</f>
        <v>0.12783927301787573</v>
      </c>
      <c r="E15" s="232">
        <f t="shared" si="5"/>
        <v>0.28736491133621822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15">
      <c r="A17" s="4"/>
      <c r="B17" s="97" t="s">
        <v>258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15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61">
        <f>IF(C6="","",C14-MAX(C16,0)-MAX(C17,0)-ABS(MAX(C21,0)-MAX(C19,0)))</f>
        <v>10002533</v>
      </c>
      <c r="D22" s="161">
        <f t="shared" ref="D22:M22" si="8">IF(D6="","",D14-MAX(D16,0)-MAX(D17,0)-ABS(MAX(D21,0)-MAX(D19,0)))</f>
        <v>7880610</v>
      </c>
      <c r="E22" s="161">
        <f t="shared" si="8"/>
        <v>6987352</v>
      </c>
      <c r="F22" s="161">
        <f t="shared" si="8"/>
        <v>5427639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3">
        <f t="shared" ref="C23:M23" si="9">IF(C6="","",C24/C6)</f>
        <v>0.22622661122723817</v>
      </c>
      <c r="D23" s="153">
        <f t="shared" si="9"/>
        <v>0.21034589291752936</v>
      </c>
      <c r="E23" s="153">
        <f t="shared" si="9"/>
        <v>0.22202686151369422</v>
      </c>
      <c r="F23" s="153">
        <f t="shared" si="9"/>
        <v>0.20449150942102448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4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4" t="s">
        <v>129</v>
      </c>
      <c r="C25" s="233">
        <f>IF(D24="","",IF(ABS(C24+D24)=ABS(C24)+ABS(D24),IF(C24&lt;0,-1,1)*(C24-D24)/D24,"Turn"))</f>
        <v>0.26925872489566161</v>
      </c>
      <c r="D25" s="233">
        <f t="shared" ref="D25:M25" si="10">IF(E24="","",IF(ABS(D24+E24)=ABS(D24)+ABS(E24),IF(D24&lt;0,-1,1)*(D24-E24)/E24,"Turn"))</f>
        <v>0.12783927301787573</v>
      </c>
      <c r="E25" s="233">
        <f t="shared" si="10"/>
        <v>0.28736491133621822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15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15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15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15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15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15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6">
        <f t="shared" ref="C42:M42" si="34">IF(C6="","",C8/C6)</f>
        <v>0.646070039633309</v>
      </c>
      <c r="D42" s="156">
        <f t="shared" si="34"/>
        <v>0.65965362734589583</v>
      </c>
      <c r="E42" s="156">
        <f t="shared" si="34"/>
        <v>0.64097837640818056</v>
      </c>
      <c r="F42" s="156">
        <f t="shared" si="34"/>
        <v>0.63501137537699193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15">
      <c r="A43" s="4"/>
      <c r="B43" s="94" t="s">
        <v>235</v>
      </c>
      <c r="C43" s="153">
        <f t="shared" ref="C43:M43" si="35">IF(C6="","",(C10+MAX(C11,0))/C6)</f>
        <v>5.2294478730373475E-2</v>
      </c>
      <c r="D43" s="153">
        <f t="shared" si="35"/>
        <v>5.9885182097398341E-2</v>
      </c>
      <c r="E43" s="153">
        <f t="shared" si="35"/>
        <v>6.298580824022712E-2</v>
      </c>
      <c r="F43" s="153">
        <f t="shared" si="35"/>
        <v>9.2333278728308751E-2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15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15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15">
      <c r="A48" s="4"/>
      <c r="B48" s="94" t="s">
        <v>124</v>
      </c>
      <c r="C48" s="153">
        <f t="shared" ref="C48:M48" si="40">IF(C6="","",C22/C6)</f>
        <v>0.30163548163631754</v>
      </c>
      <c r="D48" s="153">
        <f t="shared" si="40"/>
        <v>0.28046119055670582</v>
      </c>
      <c r="E48" s="153">
        <f t="shared" si="40"/>
        <v>0.29603581535159229</v>
      </c>
      <c r="F48" s="153">
        <f t="shared" si="40"/>
        <v>0.27265534589469931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15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15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15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15">
      <c r="A54" s="4"/>
      <c r="B54" s="94" t="s">
        <v>121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15">
      <c r="A55" s="4"/>
      <c r="B55" s="94" t="s">
        <v>123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>-</v>
      </c>
      <c r="F55" s="153" t="str">
        <f t="shared" si="45"/>
        <v>-</v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15">
      <c r="A56" s="4"/>
      <c r="B56" s="98" t="s">
        <v>21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5" zoomScaleNormal="100" workbookViewId="0">
      <selection activeCell="E81" sqref="E81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151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15">
      <c r="B73" s="12" t="str">
        <f>"(Numbers in "&amp;Data!C4&amp;Dashboard!G6&amp;")"</f>
        <v>(Numbers in 1000CNY)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15">
      <c r="B74" s="3" t="s">
        <v>127</v>
      </c>
      <c r="C74" s="77">
        <f>Data!C6</f>
        <v>33160996</v>
      </c>
      <c r="D74" s="209"/>
      <c r="E74" s="238">
        <f>Inputs!E91</f>
        <v>33160996</v>
      </c>
      <c r="F74" s="209"/>
      <c r="H74" s="238">
        <f>Inputs!F91</f>
        <v>33160996</v>
      </c>
      <c r="I74" s="209"/>
      <c r="K74" s="24"/>
    </row>
    <row r="75" spans="1:11" ht="15" customHeight="1" x14ac:dyDescent="0.15">
      <c r="B75" s="104" t="s">
        <v>106</v>
      </c>
      <c r="C75" s="77">
        <f>Data!C8</f>
        <v>21424326</v>
      </c>
      <c r="D75" s="159">
        <f>C75/$C$74</f>
        <v>0.646070039633309</v>
      </c>
      <c r="E75" s="238">
        <f>Inputs!E92</f>
        <v>21424326</v>
      </c>
      <c r="F75" s="160">
        <f>E75/E74</f>
        <v>0.646070039633309</v>
      </c>
      <c r="H75" s="238">
        <f>Inputs!F92</f>
        <v>21424326</v>
      </c>
      <c r="I75" s="160">
        <f>H75/$H$74</f>
        <v>0.646070039633309</v>
      </c>
      <c r="K75" s="24"/>
    </row>
    <row r="76" spans="1:11" ht="15" customHeight="1" x14ac:dyDescent="0.15">
      <c r="B76" s="35" t="s">
        <v>96</v>
      </c>
      <c r="C76" s="161">
        <f>C74-C75</f>
        <v>11736670</v>
      </c>
      <c r="D76" s="210"/>
      <c r="E76" s="162">
        <f>E74-E75</f>
        <v>11736670</v>
      </c>
      <c r="F76" s="210"/>
      <c r="H76" s="162">
        <f>H74-H75</f>
        <v>11736670</v>
      </c>
      <c r="I76" s="210"/>
      <c r="K76" s="24"/>
    </row>
    <row r="77" spans="1:11" ht="15" customHeight="1" x14ac:dyDescent="0.15">
      <c r="B77" s="104" t="s">
        <v>248</v>
      </c>
      <c r="C77" s="77">
        <f>Data!C10+MAX(Data!C11,0)</f>
        <v>1734137</v>
      </c>
      <c r="D77" s="159">
        <f>C77/$C$74</f>
        <v>5.2294478730373475E-2</v>
      </c>
      <c r="E77" s="238">
        <f>Inputs!E93</f>
        <v>1734137</v>
      </c>
      <c r="F77" s="160">
        <f>E77/E74</f>
        <v>5.2294478730373475E-2</v>
      </c>
      <c r="H77" s="238">
        <f>Inputs!F93</f>
        <v>1734137</v>
      </c>
      <c r="I77" s="160">
        <f>H77/$H$74</f>
        <v>5.2294478730373475E-2</v>
      </c>
      <c r="K77" s="24"/>
    </row>
    <row r="78" spans="1:11" ht="15" customHeight="1" x14ac:dyDescent="0.15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15">
      <c r="B79" s="256" t="s">
        <v>233</v>
      </c>
      <c r="C79" s="257">
        <f>C76-C77-C78</f>
        <v>10002533</v>
      </c>
      <c r="D79" s="258">
        <f>C79/C74</f>
        <v>0.30163548163631754</v>
      </c>
      <c r="E79" s="259">
        <f>E76-E77-E78</f>
        <v>10002533</v>
      </c>
      <c r="F79" s="258">
        <f>E79/E74</f>
        <v>0.30163548163631754</v>
      </c>
      <c r="G79" s="260"/>
      <c r="H79" s="259">
        <f>H76-H77-H78</f>
        <v>10002533</v>
      </c>
      <c r="I79" s="258">
        <f>H79/H74</f>
        <v>0.30163548163631754</v>
      </c>
      <c r="K79" s="24"/>
    </row>
    <row r="80" spans="1:11" ht="15" customHeight="1" x14ac:dyDescent="0.15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15">
      <c r="B81" s="104" t="s">
        <v>258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15">
      <c r="B82" s="28" t="s">
        <v>247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2">
      <c r="B83" s="105" t="s">
        <v>126</v>
      </c>
      <c r="C83" s="163">
        <f>C79-C81-C82-C80</f>
        <v>10002533</v>
      </c>
      <c r="D83" s="164">
        <f>C83/$C$74</f>
        <v>0.30163548163631754</v>
      </c>
      <c r="E83" s="165">
        <f>E79-E81-E82-E80</f>
        <v>10002533</v>
      </c>
      <c r="F83" s="164">
        <f>E83/E74</f>
        <v>0.30163548163631754</v>
      </c>
      <c r="H83" s="165">
        <f>H79-H81-H82-H80</f>
        <v>10002533</v>
      </c>
      <c r="I83" s="164">
        <f>H83/$H$74</f>
        <v>0.30163548163631754</v>
      </c>
      <c r="K83" s="24"/>
    </row>
    <row r="84" spans="1:11" ht="15" customHeight="1" thickTop="1" x14ac:dyDescent="0.15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15">
      <c r="B85" s="263" t="s">
        <v>165</v>
      </c>
      <c r="C85" s="257">
        <f>C83*(1-I84)</f>
        <v>7501899.75</v>
      </c>
      <c r="D85" s="258">
        <f>C85/$C$74</f>
        <v>0.22622661122723817</v>
      </c>
      <c r="E85" s="264">
        <f>E83*(1-F84)</f>
        <v>7501899.75</v>
      </c>
      <c r="F85" s="258">
        <f>E85/E74</f>
        <v>0.22622661122723817</v>
      </c>
      <c r="G85" s="260"/>
      <c r="H85" s="264">
        <f>H83*(1-I84)</f>
        <v>7501899.75</v>
      </c>
      <c r="I85" s="258">
        <f>H85/$H$74</f>
        <v>0.22622661122723817</v>
      </c>
      <c r="K85" s="24"/>
    </row>
    <row r="86" spans="1:11" ht="15" customHeight="1" x14ac:dyDescent="0.15">
      <c r="B86" s="87" t="s">
        <v>161</v>
      </c>
      <c r="C86" s="167">
        <f>C85*Data!C4/Common_Shares</f>
        <v>2.8745735579046929</v>
      </c>
      <c r="D86" s="209"/>
      <c r="E86" s="168">
        <f>E85*Data!C4/Common_Shares</f>
        <v>2.8745735579046929</v>
      </c>
      <c r="F86" s="209"/>
      <c r="H86" s="168">
        <f>H85*Data!C4/Common_Shares</f>
        <v>2.8745735579046929</v>
      </c>
      <c r="I86" s="209"/>
      <c r="K86" s="24"/>
    </row>
    <row r="87" spans="1:11" ht="15" customHeight="1" x14ac:dyDescent="0.15">
      <c r="B87" s="87" t="s">
        <v>209</v>
      </c>
      <c r="C87" s="261">
        <f>C86*Exchange_Rate/Dashboard!G3</f>
        <v>5.9033119566439599E-2</v>
      </c>
      <c r="D87" s="209"/>
      <c r="E87" s="262">
        <f>E86*Exchange_Rate/Dashboard!G3</f>
        <v>5.9033119566439599E-2</v>
      </c>
      <c r="F87" s="209"/>
      <c r="H87" s="262">
        <f>H86*Exchange_Rate/Dashboard!G3</f>
        <v>5.9033119566439599E-2</v>
      </c>
      <c r="I87" s="209"/>
      <c r="K87" s="24"/>
    </row>
    <row r="88" spans="1:11" ht="15" customHeight="1" x14ac:dyDescent="0.15">
      <c r="B88" s="86" t="s">
        <v>208</v>
      </c>
      <c r="C88" s="169">
        <f>Inputs!C44</f>
        <v>1.3</v>
      </c>
      <c r="D88" s="166">
        <f>C88/C86</f>
        <v>0.45224099290316433</v>
      </c>
      <c r="E88" s="170">
        <f>Inputs!E98</f>
        <v>1.3</v>
      </c>
      <c r="F88" s="166">
        <f>E88/E86</f>
        <v>0.45224099290316433</v>
      </c>
      <c r="H88" s="170">
        <f>Inputs!F98</f>
        <v>1.3</v>
      </c>
      <c r="I88" s="166">
        <f>H88/H86</f>
        <v>0.45224099290316433</v>
      </c>
      <c r="K88" s="24"/>
    </row>
    <row r="89" spans="1:11" ht="15" customHeight="1" x14ac:dyDescent="0.15">
      <c r="B89" s="87" t="s">
        <v>222</v>
      </c>
      <c r="C89" s="261">
        <f>C88*Exchange_Rate/Dashboard!G3</f>
        <v>2.6697196606897861E-2</v>
      </c>
      <c r="D89" s="209"/>
      <c r="E89" s="261">
        <f>E88*Exchange_Rate/Dashboard!G3</f>
        <v>2.6697196606897861E-2</v>
      </c>
      <c r="F89" s="209"/>
      <c r="H89" s="261">
        <f>H88*Exchange_Rate/Dashboard!G3</f>
        <v>2.6697196606897861E-2</v>
      </c>
      <c r="I89" s="209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15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15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210</v>
      </c>
      <c r="F93" s="144">
        <f>FV(E87,D93,0,-(E86/(C93-D94)))*Exchange_Rate</f>
        <v>62.137506557598073</v>
      </c>
      <c r="H93" s="87" t="s">
        <v>210</v>
      </c>
      <c r="I93" s="144">
        <f>FV(H87,D93,0,-(H86/(C93-D94)))*Exchange_Rate</f>
        <v>62.137506557598073</v>
      </c>
      <c r="K93" s="24"/>
    </row>
    <row r="94" spans="1:11" ht="15" customHeight="1" x14ac:dyDescent="0.15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24.065113700480563</v>
      </c>
      <c r="H94" s="87" t="s">
        <v>211</v>
      </c>
      <c r="I94" s="144">
        <f>FV(H89,D93,0,-(H88/(C93-D94)))*Exchange_Rate</f>
        <v>24.065113700480563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15">
      <c r="B97" s="1" t="s">
        <v>131</v>
      </c>
      <c r="C97" s="91">
        <f>H97*Common_Shares/Data!C4</f>
        <v>80623648.967520446</v>
      </c>
      <c r="D97" s="213"/>
      <c r="E97" s="123">
        <f>PV(C94,D93,0,-F93)</f>
        <v>30.893322649882688</v>
      </c>
      <c r="F97" s="213"/>
      <c r="H97" s="123">
        <f>PV(C94,D93,0,-I93)</f>
        <v>30.893322649882688</v>
      </c>
      <c r="I97" s="123">
        <f>PV(C93,D93,0,-I93)</f>
        <v>41.13435536920403</v>
      </c>
      <c r="K97" s="24"/>
    </row>
    <row r="98" spans="2:11" ht="15" customHeight="1" x14ac:dyDescent="0.15">
      <c r="B98" s="28" t="s">
        <v>145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2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15">
      <c r="B100" s="1" t="s">
        <v>115</v>
      </c>
      <c r="C100" s="91">
        <f>C97-C98+$C$99</f>
        <v>80623648.967520446</v>
      </c>
      <c r="D100" s="109">
        <f>MIN(F100*(1-C94),E100)</f>
        <v>26.259324252400283</v>
      </c>
      <c r="E100" s="109">
        <f>MAX(E97-H98+E99,0)</f>
        <v>30.893322649882688</v>
      </c>
      <c r="F100" s="109">
        <f>(E100+H100)/2</f>
        <v>30.893322649882688</v>
      </c>
      <c r="H100" s="109">
        <f>MAX(C100*Data!$C$4/Common_Shares,0)</f>
        <v>30.893322649882688</v>
      </c>
      <c r="I100" s="109">
        <f>MAX(I97-H98+H99,0)</f>
        <v>41.13435536920403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15">
      <c r="B103" s="1" t="s">
        <v>162</v>
      </c>
      <c r="C103" s="91">
        <f>H103*Common_Shares/Data!C4</f>
        <v>31224575.732734568</v>
      </c>
      <c r="D103" s="109">
        <f>MIN(F103*(1-C94),E103)</f>
        <v>10.169922464559013</v>
      </c>
      <c r="E103" s="123">
        <f>PV(C94,D93,0,-F94)</f>
        <v>11.964614664187074</v>
      </c>
      <c r="F103" s="109">
        <f>(E103+H103)/2</f>
        <v>11.964614664187074</v>
      </c>
      <c r="H103" s="123">
        <f>PV(C94,D93,0,-I94)</f>
        <v>11.964614664187074</v>
      </c>
      <c r="I103" s="109">
        <f>PV(C93,D93,0,-I94)</f>
        <v>15.9308442484457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15">
      <c r="B106" s="1" t="s">
        <v>199</v>
      </c>
      <c r="C106" s="91">
        <f>E106*Common_Shares/Data!C4</f>
        <v>55924112.350127503</v>
      </c>
      <c r="D106" s="109">
        <f>(D100+D103)/2</f>
        <v>18.214623358479649</v>
      </c>
      <c r="E106" s="123">
        <f>(E100+E103)/2</f>
        <v>21.428968657034879</v>
      </c>
      <c r="F106" s="109">
        <f>(F100+F103)/2</f>
        <v>21.428968657034879</v>
      </c>
      <c r="H106" s="123">
        <f>(H100+H103)/2</f>
        <v>21.428968657034879</v>
      </c>
      <c r="I106" s="123">
        <f>(I100+I103)/2</f>
        <v>28.532599808824866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2024-12-07T14:17:34Z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