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E35E3A34-CFDA-4C0D-AF97-397F8837880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F91" i="4"/>
  <c r="F92" i="4" s="1"/>
  <c r="E91" i="4"/>
  <c r="E93" i="4" s="1"/>
  <c r="D69" i="4"/>
  <c r="D68" i="4"/>
  <c r="D67" i="4"/>
  <c r="C65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27" i="4"/>
  <c r="C27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E92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I97" i="3"/>
  <c r="I100" i="3" s="1"/>
  <c r="C97" i="3"/>
  <c r="C100" i="3" s="1"/>
  <c r="H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<sst xmlns="http://schemas.openxmlformats.org/spreadsheetml/2006/main" count="390" uniqueCount="267">
  <si>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</si>
  <si>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</si>
  <si>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</si>
  <si>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</si>
  <si>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</si>
  <si>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</si>
  <si>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</si>
  <si>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</si>
  <si>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</si>
  <si>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</si>
  <si>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</si>
  <si>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</si>
  <si>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</si>
  <si>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</si>
  <si>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</si>
  <si>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</si>
  <si>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</si>
  <si>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</si>
  <si>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</si>
  <si>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</si>
  <si>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</si>
  <si>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</si>
  <si>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</si>
  <si>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</si>
  <si>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</si>
  <si>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</si>
  <si>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</si>
  <si>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</si>
  <si>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</si>
  <si>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</si>
  <si>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</si>
  <si>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</si>
  <si>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</si>
  <si>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</si>
  <si>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</si>
  <si>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</si>
  <si>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</si>
  <si>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</si>
  <si>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</si>
  <si>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</si>
  <si>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</si>
  <si>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</si>
  <si>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</si>
  <si>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</si>
  <si>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</si>
  <si>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</si>
  <si>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</si>
  <si>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</si>
  <si>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</si>
  <si>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</si>
  <si>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</si>
  <si>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</si>
  <si>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</si>
  <si>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</si>
  <si>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</si>
  <si>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</si>
  <si>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</si>
  <si>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</si>
  <si>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</si>
  <si>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</si>
  <si>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</si>
  <si>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</si>
  <si>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</si>
  <si>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</si>
  <si>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</si>
  <si>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</si>
  <si>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</si>
  <si>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</si>
  <si>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</si>
  <si>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</si>
  <si>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</si>
  <si>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</si>
  <si>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</si>
  <si>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</si>
  <si>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</si>
  <si>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</si>
  <si>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</si>
  <si>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</si>
  <si>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</si>
  <si>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</si>
  <si>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</si>
  <si>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</si>
  <si>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</si>
  <si>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</si>
  <si>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</si>
  <si>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</si>
  <si>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</si>
  <si>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</si>
  <si>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</si>
  <si>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</si>
  <si>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</si>
  <si>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</si>
  <si>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</si>
  <si>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</si>
  <si>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</si>
  <si>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</si>
  <si>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</si>
  <si>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</si>
  <si>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</si>
  <si>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</si>
  <si>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</si>
  <si>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</si>
  <si>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</si>
  <si>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</si>
  <si>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</si>
  <si>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</si>
  <si>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</si>
  <si>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</si>
  <si>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</si>
  <si>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</si>
  <si>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</si>
  <si>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</si>
  <si>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</si>
  <si>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</si>
  <si>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</si>
  <si>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</si>
  <si>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</si>
  <si>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</si>
  <si>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</si>
  <si>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</si>
  <si>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</si>
  <si>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</si>
  <si>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</si>
  <si>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</si>
  <si>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</si>
  <si>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</si>
  <si>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</si>
  <si>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</si>
  <si>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</si>
  <si>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</si>
  <si>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</si>
  <si>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</si>
  <si>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</si>
  <si>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</si>
  <si>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</si>
  <si>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</si>
  <si>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</si>
  <si>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</si>
  <si>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</si>
  <si>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</si>
  <si>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</si>
  <si>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</si>
  <si>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</si>
  <si>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</si>
  <si>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</si>
  <si>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</si>
  <si>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</si>
  <si>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</si>
  <si>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</si>
  <si>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</si>
  <si>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</si>
  <si>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</si>
  <si>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</si>
  <si>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</si>
  <si>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</si>
  <si>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</si>
  <si>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</si>
  <si>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</si>
  <si>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</si>
  <si>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</si>
  <si>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</si>
  <si>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</si>
  <si>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</si>
  <si>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</si>
  <si>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</si>
  <si>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</si>
  <si>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</si>
  <si>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</si>
  <si>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</si>
  <si>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</si>
  <si>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</si>
  <si>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</si>
  <si>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</si>
  <si>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</si>
  <si>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</si>
  <si>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</si>
  <si>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</si>
  <si>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</si>
  <si>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</si>
  <si>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</si>
  <si>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</si>
  <si>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</si>
  <si>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</si>
  <si>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</si>
  <si>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</si>
  <si>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</si>
  <si>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</si>
  <si>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</si>
  <si>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</si>
  <si>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</si>
  <si>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</si>
  <si>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</si>
  <si>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</si>
  <si>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</si>
  <si>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</si>
  <si>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</si>
  <si>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</si>
  <si>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</si>
  <si>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</si>
  <si>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</si>
  <si>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</si>
  <si>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</si>
  <si>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</si>
  <si>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</si>
  <si>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</si>
  <si>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</si>
  <si>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</si>
  <si>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</si>
  <si>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</si>
  <si>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</si>
  <si>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</si>
  <si>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</si>
  <si>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</si>
  <si>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</si>
  <si>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</si>
  <si>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</si>
  <si>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</si>
  <si>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</si>
  <si>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</si>
  <si>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</si>
  <si>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</si>
  <si>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</si>
  <si>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</si>
  <si>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</si>
  <si>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</si>
  <si>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</si>
  <si>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</si>
  <si>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</si>
  <si>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</si>
  <si>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</si>
  <si>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</si>
  <si>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</si>
  <si>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</si>
  <si>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</si>
  <si>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</si>
  <si>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</si>
  <si>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</si>
  <si>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</si>
  <si>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</si>
  <si>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</si>
  <si>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</si>
  <si>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</si>
  <si>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</si>
  <si>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</si>
  <si>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</si>
  <si>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</si>
  <si>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</si>
  <si>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</si>
  <si>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</si>
  <si>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</si>
  <si>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</si>
  <si>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</si>
  <si>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</si>
  <si>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</si>
  <si>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</si>
  <si>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</si>
  <si>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</si>
  <si>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</si>
  <si>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</si>
  <si>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</si>
  <si>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</si>
  <si>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0016.HK</t>
  </si>
  <si>
    <t>新鴻基地產</t>
  </si>
  <si>
    <t>C0005</t>
  </si>
  <si>
    <t>disagree</t>
  </si>
  <si>
    <t>Commodity-type Business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</si>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</sst>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0.54949235029228316</c:v>
                </c:pt>
                <c:pt idx="1">
                  <c:v>0.10108242664951193</c:v>
                </c:pt>
                <c:pt idx="2">
                  <c:v>1.0218987976510586E-2</c:v>
                </c:pt>
                <c:pt idx="3">
                  <c:v>0</c:v>
                </c:pt>
                <c:pt idx="4">
                  <c:v>5.6582664391799292E-2</c:v>
                </c:pt>
                <c:pt idx="5">
                  <c:v>5.719799737085E-3</c:v>
                </c:pt>
                <c:pt idx="6">
                  <c:v>0.27690377095281005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261</v>
      </c>
    </row>
    <row r="5" spans="1:5" ht="13.9" x14ac:dyDescent="0.4">
      <c r="B5" s="141" t="s">
        <v>196</v>
      </c>
      <c r="C5" s="192" t="s">
        <v>262</v>
      </c>
    </row>
    <row r="6" spans="1:5" ht="13.9" x14ac:dyDescent="0.4">
      <c r="B6" s="141" t="s">
        <v>164</v>
      </c>
      <c r="C6" s="190">
        <v>45625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71</v>
      </c>
      <c r="E8" s="268"/>
    </row>
    <row r="9" spans="1:5" ht="13.9" x14ac:dyDescent="0.4">
      <c r="B9" s="140" t="s">
        <v>217</v>
      </c>
      <c r="C9" s="193" t="s">
        <v>263</v>
      </c>
    </row>
    <row r="10" spans="1:5" ht="13.9" x14ac:dyDescent="0.4">
      <c r="B10" s="140" t="s">
        <v>218</v>
      </c>
      <c r="C10" s="194">
        <v>2897780274</v>
      </c>
    </row>
    <row r="11" spans="1:5" ht="13.9" x14ac:dyDescent="0.4">
      <c r="B11" s="140" t="s">
        <v>219</v>
      </c>
      <c r="C11" s="193" t="s">
        <v>2</v>
      </c>
    </row>
    <row r="12" spans="1:5" ht="13.9" x14ac:dyDescent="0.4">
      <c r="B12" s="219" t="s">
        <v>10</v>
      </c>
      <c r="C12" s="220">
        <v>45473</v>
      </c>
    </row>
    <row r="13" spans="1:5" ht="13.9" x14ac:dyDescent="0.4">
      <c r="B13" s="219" t="s">
        <v>11</v>
      </c>
      <c r="C13" s="221">
        <v>1000000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257</v>
      </c>
      <c r="C15" s="177" t="s">
        <v>190</v>
      </c>
    </row>
    <row r="16" spans="1:5" ht="13.9" x14ac:dyDescent="0.4">
      <c r="B16" s="223" t="s">
        <v>97</v>
      </c>
      <c r="C16" s="224">
        <v>0.23499999999999999</v>
      </c>
      <c r="D16" s="24"/>
    </row>
    <row r="17" spans="2:13" ht="13.9" x14ac:dyDescent="0.4">
      <c r="B17" s="241" t="s">
        <v>225</v>
      </c>
      <c r="C17" s="243" t="s">
        <v>264</v>
      </c>
      <c r="D17" s="24"/>
    </row>
    <row r="18" spans="2:13" ht="13.9" x14ac:dyDescent="0.4">
      <c r="B18" s="241" t="s">
        <v>239</v>
      </c>
      <c r="C18" s="243" t="s">
        <v>246</v>
      </c>
      <c r="D18" s="24"/>
    </row>
    <row r="19" spans="2:13" ht="13.9" x14ac:dyDescent="0.4">
      <c r="B19" s="241" t="s">
        <v>240</v>
      </c>
      <c r="C19" s="243" t="s">
        <v>246</v>
      </c>
      <c r="D19" s="24"/>
    </row>
    <row r="20" spans="2:13" ht="13.9" x14ac:dyDescent="0.4">
      <c r="B20" s="242" t="s">
        <v>229</v>
      </c>
      <c r="C20" s="243" t="s">
        <v>246</v>
      </c>
      <c r="D20" s="24"/>
    </row>
    <row r="21" spans="2:13" ht="13.9" x14ac:dyDescent="0.4">
      <c r="B21" s="225" t="s">
        <v>232</v>
      </c>
      <c r="C21" s="243" t="s">
        <v>246</v>
      </c>
      <c r="D21" s="24"/>
    </row>
    <row r="22" spans="2:13" ht="78.75" x14ac:dyDescent="0.4">
      <c r="B22" s="227" t="s">
        <v>231</v>
      </c>
      <c r="C22" s="244" t="s">
        <v>265</v>
      </c>
      <c r="D22" s="24"/>
    </row>
    <row r="24" spans="2:13" ht="13.9" x14ac:dyDescent="0.4">
      <c r="B24" s="115" t="s">
        <v>134</v>
      </c>
      <c r="C24" s="48">
        <f>C12</f>
        <v>45473</v>
      </c>
      <c r="D24" s="49">
        <f>EOMONTH(EDATE(C24,-12),0)</f>
        <v>45107</v>
      </c>
      <c r="E24" s="49">
        <f t="shared" ref="E24:M24" si="0">EOMONTH(EDATE(D24,-12),0)</f>
        <v>44742</v>
      </c>
      <c r="F24" s="49">
        <f t="shared" si="0"/>
        <v>44377</v>
      </c>
      <c r="G24" s="49">
        <f t="shared" si="0"/>
        <v>44012</v>
      </c>
      <c r="H24" s="49">
        <f t="shared" si="0"/>
        <v>43646</v>
      </c>
      <c r="I24" s="49">
        <f t="shared" si="0"/>
        <v>43281</v>
      </c>
      <c r="J24" s="49">
        <f t="shared" si="0"/>
        <v>42916</v>
      </c>
      <c r="K24" s="49">
        <f t="shared" si="0"/>
        <v>42551</v>
      </c>
      <c r="L24" s="49">
        <f t="shared" si="0"/>
        <v>42185</v>
      </c>
      <c r="M24" s="49">
        <f t="shared" si="0"/>
        <v>41820</v>
      </c>
    </row>
    <row r="25" spans="2:13" ht="13.9" x14ac:dyDescent="0.4">
      <c r="B25" s="94" t="s">
        <v>12</v>
      </c>
      <c r="C25" s="150">
        <v>71506</v>
      </c>
      <c r="D25" s="150">
        <v>71195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39292</v>
      </c>
      <c r="D26" s="151">
        <v>36737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f>3906+3322</f>
        <v>7228</v>
      </c>
      <c r="D27" s="151">
        <f>4179+3145</f>
        <v>7324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258</v>
      </c>
      <c r="C29" s="151">
        <v>4046</v>
      </c>
      <c r="D29" s="151">
        <v>3053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559</v>
      </c>
      <c r="D30" s="151">
        <v>668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>
        <v>-2259</v>
      </c>
      <c r="D31" s="151">
        <v>-1565</v>
      </c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>
        <v>4805</v>
      </c>
      <c r="D32" s="151">
        <v>4765</v>
      </c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>
        <v>4396</v>
      </c>
      <c r="D33" s="151">
        <v>4262</v>
      </c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>
        <f>0.95+2.8</f>
        <v>3.75</v>
      </c>
      <c r="D44" s="251">
        <f>3.7+1.25</f>
        <v>4.95</v>
      </c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254</v>
      </c>
      <c r="C45" s="153">
        <f>IF(C44="","",C44*Exchange_Rate/Dashboard!$G$3)</f>
        <v>4.7923322683706068E-2</v>
      </c>
      <c r="D45" s="153">
        <f>IF(D44="","",D44*Exchange_Rate/Dashboard!$G$3)</f>
        <v>6.3258785942492013E-2</v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250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>
        <v>16221</v>
      </c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>
        <v>17115</v>
      </c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>
        <v>748</v>
      </c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>
        <v>502</v>
      </c>
      <c r="D55" s="60">
        <f>D52</f>
        <v>0.5</v>
      </c>
      <c r="E55" s="112"/>
    </row>
    <row r="56" spans="2:5" ht="13.9" x14ac:dyDescent="0.4">
      <c r="B56" s="1" t="s">
        <v>48</v>
      </c>
      <c r="C56" s="59">
        <v>214077</v>
      </c>
      <c r="D56" s="60">
        <f>D50</f>
        <v>0.6</v>
      </c>
      <c r="E56" s="222" t="s">
        <v>46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>
        <v>1681</v>
      </c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>
        <f>7954+93101</f>
        <v>101055</v>
      </c>
      <c r="D65" s="60">
        <v>0.1</v>
      </c>
      <c r="E65" s="222" t="s">
        <v>71</v>
      </c>
    </row>
    <row r="66" spans="2:5" ht="13.9" x14ac:dyDescent="0.4">
      <c r="B66" s="3" t="s">
        <v>72</v>
      </c>
      <c r="C66" s="59">
        <v>408424</v>
      </c>
      <c r="D66" s="60">
        <v>0.2</v>
      </c>
      <c r="E66" s="222" t="s">
        <v>46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>
        <v>50190</v>
      </c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>
        <v>4338</v>
      </c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>
        <v>3743</v>
      </c>
      <c r="D72" s="249">
        <v>0</v>
      </c>
      <c r="E72" s="250"/>
    </row>
    <row r="73" spans="2:5" ht="13.9" x14ac:dyDescent="0.4">
      <c r="B73" s="3" t="s">
        <v>39</v>
      </c>
      <c r="C73" s="59">
        <v>10498</v>
      </c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>
        <v>62012</v>
      </c>
    </row>
    <row r="78" spans="2:5" ht="14.25" thickTop="1" x14ac:dyDescent="0.4">
      <c r="B78" s="3" t="s">
        <v>62</v>
      </c>
      <c r="C78" s="59">
        <v>116589</v>
      </c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>
        <v>145011</v>
      </c>
    </row>
    <row r="83" spans="2:8" ht="14.25" thickTop="1" x14ac:dyDescent="0.4">
      <c r="B83" s="73" t="s">
        <v>221</v>
      </c>
      <c r="C83" s="59">
        <v>606717</v>
      </c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8">
        <v>5</v>
      </c>
    </row>
    <row r="87" spans="2:8" ht="13.9" x14ac:dyDescent="0.4">
      <c r="B87" s="10" t="s">
        <v>249</v>
      </c>
      <c r="C87" s="237" t="s">
        <v>252</v>
      </c>
    </row>
    <row r="89" spans="2:8" ht="13.5" x14ac:dyDescent="0.35">
      <c r="B89" s="106" t="s">
        <v>128</v>
      </c>
      <c r="C89" s="270">
        <f>C24</f>
        <v>45473</v>
      </c>
      <c r="D89" s="270"/>
      <c r="E89" s="89" t="s">
        <v>207</v>
      </c>
      <c r="F89" s="89" t="s">
        <v>206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71506</v>
      </c>
      <c r="D91" s="210"/>
      <c r="E91" s="252">
        <f>C91</f>
        <v>71506</v>
      </c>
      <c r="F91" s="252">
        <f>C91</f>
        <v>71506</v>
      </c>
    </row>
    <row r="92" spans="2:8" ht="13.9" x14ac:dyDescent="0.4">
      <c r="B92" s="104" t="s">
        <v>106</v>
      </c>
      <c r="C92" s="77">
        <f>C26</f>
        <v>39292</v>
      </c>
      <c r="D92" s="160">
        <f>C92/C91</f>
        <v>0.54949235029228316</v>
      </c>
      <c r="E92" s="253">
        <f>E91*D92</f>
        <v>39292</v>
      </c>
      <c r="F92" s="253">
        <f>F91*D92</f>
        <v>39292</v>
      </c>
    </row>
    <row r="93" spans="2:8" ht="13.9" x14ac:dyDescent="0.4">
      <c r="B93" s="104" t="s">
        <v>248</v>
      </c>
      <c r="C93" s="77">
        <f>C27+C28</f>
        <v>7228</v>
      </c>
      <c r="D93" s="160">
        <f>C93/C91</f>
        <v>0.10108242664951193</v>
      </c>
      <c r="E93" s="253">
        <f>E91*D93</f>
        <v>7228</v>
      </c>
      <c r="F93" s="253">
        <f>F91*D93</f>
        <v>7228</v>
      </c>
    </row>
    <row r="94" spans="2:8" ht="13.9" x14ac:dyDescent="0.4">
      <c r="B94" s="104" t="s">
        <v>258</v>
      </c>
      <c r="C94" s="77">
        <f>C29</f>
        <v>4046</v>
      </c>
      <c r="D94" s="160">
        <f>C94/C91</f>
        <v>5.6582664391799292E-2</v>
      </c>
      <c r="E94" s="254"/>
      <c r="F94" s="253">
        <f>F91*D94</f>
        <v>4046</v>
      </c>
    </row>
    <row r="95" spans="2:8" ht="13.9" x14ac:dyDescent="0.4">
      <c r="B95" s="28" t="s">
        <v>247</v>
      </c>
      <c r="C95" s="77">
        <f>ABS(MAX(C33,0)-C32)</f>
        <v>409</v>
      </c>
      <c r="D95" s="160">
        <f>C95/C91</f>
        <v>5.719799737085E-3</v>
      </c>
      <c r="E95" s="253">
        <f>E91*D95</f>
        <v>409</v>
      </c>
      <c r="F95" s="253">
        <f>F91*D95</f>
        <v>409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730.718954248366</v>
      </c>
      <c r="D97" s="160">
        <f>C97/C91</f>
        <v>1.0218987976510586E-2</v>
      </c>
      <c r="E97" s="254"/>
      <c r="F97" s="253">
        <f>F91*D97</f>
        <v>730.718954248366</v>
      </c>
    </row>
    <row r="98" spans="2:7" ht="13.9" x14ac:dyDescent="0.4">
      <c r="B98" s="86" t="s">
        <v>208</v>
      </c>
      <c r="C98" s="238">
        <f>C44</f>
        <v>3.75</v>
      </c>
      <c r="D98" s="267"/>
      <c r="E98" s="255">
        <f>F98</f>
        <v>3.75</v>
      </c>
      <c r="F98" s="255">
        <f>C98</f>
        <v>3.75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0016.HK : 新鴻基地產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0016.HK</v>
      </c>
      <c r="D3" s="277"/>
      <c r="E3" s="87"/>
      <c r="F3" s="3" t="s">
        <v>1</v>
      </c>
      <c r="G3" s="132">
        <v>78.25</v>
      </c>
      <c r="H3" s="134" t="s">
        <v>266</v>
      </c>
    </row>
    <row r="4" spans="1:10" ht="15.75" customHeight="1" x14ac:dyDescent="0.4">
      <c r="B4" s="35" t="s">
        <v>196</v>
      </c>
      <c r="C4" s="278" t="str">
        <f>Inputs!C5</f>
        <v>新鴻基地產</v>
      </c>
      <c r="D4" s="279"/>
      <c r="E4" s="87"/>
      <c r="F4" s="3" t="s">
        <v>3</v>
      </c>
      <c r="G4" s="282">
        <f>Inputs!C10</f>
        <v>2897780274</v>
      </c>
      <c r="H4" s="282"/>
      <c r="I4" s="39"/>
    </row>
    <row r="5" spans="1:10" ht="15.75" customHeight="1" x14ac:dyDescent="0.4">
      <c r="B5" s="3" t="s">
        <v>164</v>
      </c>
      <c r="C5" s="280">
        <f>Inputs!C6</f>
        <v>45625</v>
      </c>
      <c r="D5" s="281"/>
      <c r="E5" s="34"/>
      <c r="F5" s="35" t="s">
        <v>100</v>
      </c>
      <c r="G5" s="274">
        <f>G3*G4/1000000</f>
        <v>226751.30644049999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45473</v>
      </c>
      <c r="F6" s="3" t="s">
        <v>5</v>
      </c>
      <c r="G6" s="275" t="str">
        <f>Inputs!C11</f>
        <v>HKD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N</v>
      </c>
      <c r="D7" s="188" t="str">
        <f>Inputs!C9</f>
        <v>C0005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255</v>
      </c>
      <c r="C12" s="175">
        <v>0.06</v>
      </c>
      <c r="D12" s="173">
        <v>6.4500000000000002E-2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HK</v>
      </c>
      <c r="F16" s="110" t="s">
        <v>179</v>
      </c>
    </row>
    <row r="17" spans="1:8" ht="15.75" customHeight="1" thickTop="1" x14ac:dyDescent="0.4">
      <c r="B17" s="87" t="s">
        <v>256</v>
      </c>
      <c r="C17" s="176">
        <v>6.8999999999999992E-2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0.54949235029228316</v>
      </c>
      <c r="F20" s="87" t="s">
        <v>212</v>
      </c>
      <c r="G20" s="173">
        <v>0.15</v>
      </c>
    </row>
    <row r="21" spans="1:8" ht="15.75" customHeight="1" x14ac:dyDescent="0.4">
      <c r="B21" s="137" t="s">
        <v>245</v>
      </c>
      <c r="C21" s="172">
        <f>Fin_Analysis!I77</f>
        <v>0.10108242664951193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1.0218987976510586E-2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189</v>
      </c>
      <c r="G23" s="178">
        <f>G3/(Data!C36*Data!C4/Common_Shares*Exchange_Rate)</f>
        <v>0.37107194817050715</v>
      </c>
    </row>
    <row r="24" spans="1:8" ht="15.75" customHeight="1" x14ac:dyDescent="0.4">
      <c r="B24" s="137" t="s">
        <v>171</v>
      </c>
      <c r="C24" s="172">
        <f>Fin_Analysis!I81</f>
        <v>5.6582664391799292E-2</v>
      </c>
      <c r="F24" s="140" t="s">
        <v>260</v>
      </c>
      <c r="G24" s="269">
        <f>G3/(Fin_Analysis!H86*G7)</f>
        <v>14.969834813891529</v>
      </c>
    </row>
    <row r="25" spans="1:8" ht="15.75" customHeight="1" x14ac:dyDescent="0.4">
      <c r="B25" s="137" t="s">
        <v>244</v>
      </c>
      <c r="C25" s="172">
        <f>Fin_Analysis!I82</f>
        <v>5.719799737085E-3</v>
      </c>
      <c r="F25" s="140" t="s">
        <v>175</v>
      </c>
      <c r="G25" s="172">
        <f>Fin_Analysis!I88</f>
        <v>0.71740422430790074</v>
      </c>
    </row>
    <row r="26" spans="1:8" ht="15.75" customHeight="1" x14ac:dyDescent="0.4">
      <c r="B26" s="138" t="s">
        <v>174</v>
      </c>
      <c r="C26" s="172">
        <f>Fin_Analysis!I83</f>
        <v>0.27690377095281005</v>
      </c>
      <c r="F26" s="141" t="s">
        <v>194</v>
      </c>
      <c r="G26" s="179">
        <f>Fin_Analysis!H88*Exchange_Rate/G3</f>
        <v>4.7923322683706068E-2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259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14.020185571926717</v>
      </c>
      <c r="D29" s="129">
        <f>G29*(1+G20)</f>
        <v>52.332370576725054</v>
      </c>
      <c r="E29" s="87"/>
      <c r="F29" s="131">
        <f>IF(Fin_Analysis!C108="Profit",Fin_Analysis!F100,IF(Fin_Analysis!C108="Dividend",Fin_Analysis!F103,Fin_Analysis!F106))</f>
        <v>16.638606149939115</v>
      </c>
      <c r="G29" s="273">
        <f>IF(Fin_Analysis!C108="Profit",Fin_Analysis!I100,IF(Fin_Analysis!C108="Dividend",Fin_Analysis!I103,Fin_Analysis!I106))</f>
        <v>45.506409197152223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disagree</v>
      </c>
    </row>
    <row r="34" spans="1:3" ht="15.75" customHeight="1" x14ac:dyDescent="0.4">
      <c r="A34"/>
      <c r="B34" s="19" t="s">
        <v>226</v>
      </c>
      <c r="C34" s="226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unclear</v>
      </c>
    </row>
    <row r="37" spans="1:3" ht="15.75" customHeight="1" x14ac:dyDescent="0.4">
      <c r="A37"/>
      <c r="B37" s="20" t="s">
        <v>240</v>
      </c>
      <c r="C37" s="246" t="str">
        <f>Inputs!C19</f>
        <v>unclear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unclear</v>
      </c>
    </row>
    <row r="40" spans="1:3" ht="15.75" customHeight="1" x14ac:dyDescent="0.4">
      <c r="A40"/>
      <c r="B40" s="1" t="s">
        <v>232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Commodity-type Business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45473</v>
      </c>
      <c r="E3" s="147" t="s">
        <v>201</v>
      </c>
      <c r="F3" s="85" t="str">
        <f>H14</f>
        <v/>
      </c>
      <c r="G3" s="85">
        <f>C14</f>
        <v>24255.281045751635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HKD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45473</v>
      </c>
      <c r="D5" s="49">
        <f>EOMONTH(EDATE(C5,-12),0)</f>
        <v>45107</v>
      </c>
      <c r="E5" s="49">
        <f t="shared" ref="E5:M5" si="0">EOMONTH(EDATE(D5,-12),0)</f>
        <v>44742</v>
      </c>
      <c r="F5" s="49">
        <f t="shared" si="0"/>
        <v>44377</v>
      </c>
      <c r="G5" s="49">
        <f t="shared" si="0"/>
        <v>44012</v>
      </c>
      <c r="H5" s="49">
        <f t="shared" si="0"/>
        <v>43646</v>
      </c>
      <c r="I5" s="49">
        <f t="shared" si="0"/>
        <v>43281</v>
      </c>
      <c r="J5" s="49">
        <f t="shared" si="0"/>
        <v>42916</v>
      </c>
      <c r="K5" s="49">
        <f t="shared" si="0"/>
        <v>42551</v>
      </c>
      <c r="L5" s="49">
        <f t="shared" si="0"/>
        <v>42185</v>
      </c>
      <c r="M5" s="49">
        <f t="shared" si="0"/>
        <v>41820</v>
      </c>
    </row>
    <row r="6" spans="1:14" ht="15.75" customHeight="1" x14ac:dyDescent="0.4">
      <c r="A6" s="4"/>
      <c r="B6" s="94" t="s">
        <v>12</v>
      </c>
      <c r="C6" s="201">
        <f>IF(Inputs!C25=""," ",Inputs!C25)</f>
        <v>71506</v>
      </c>
      <c r="D6" s="201">
        <f>IF(Inputs!D25="","",Inputs!D25)</f>
        <v>71195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4.3682842896271001E-3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39292</v>
      </c>
      <c r="D8" s="200">
        <f>IF(Inputs!D26="","",Inputs!D26)</f>
        <v>36737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32214</v>
      </c>
      <c r="D9" s="152">
        <f t="shared" si="2"/>
        <v>34458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7228</v>
      </c>
      <c r="D10" s="200">
        <f>IF(Inputs!D27="","",Inputs!D27)</f>
        <v>7324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>
        <f>IF(Inputs!C30="","",MAX(Inputs!C30,0)/(1-Fin_Analysis!$I$84))</f>
        <v>730.718954248366</v>
      </c>
      <c r="D12" s="200">
        <f>IF(Inputs!D30="","",MAX(Inputs!D30,0)/(1-Fin_Analysis!$I$84))</f>
        <v>873.20261437908493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0.33920623508169434</v>
      </c>
      <c r="D13" s="230">
        <f t="shared" si="3"/>
        <v>0.36885732685751688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24255.281045751635</v>
      </c>
      <c r="D14" s="231">
        <f t="shared" ref="D14:M14" si="4">IF(D6="","",D9-D10-MAX(D11,0)-MAX(D12,0))</f>
        <v>26260.797385620914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>
        <f>IF(D14="","",IF(ABS(C14+D14)=ABS(C14)+ABS(D14),IF(C14&lt;0,-1,1)*(C14-D14)/D14,"Turn"))</f>
        <v>-7.6369209602424257E-2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>
        <f>IF(Inputs!C31="","",Inputs!C31)</f>
        <v>-2259</v>
      </c>
      <c r="D16" s="200">
        <f>IF(Inputs!D31="","",Inputs!D31)</f>
        <v>-1565</v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258</v>
      </c>
      <c r="C17" s="200">
        <f>IF(Inputs!C29="","",Inputs!C29)</f>
        <v>4046</v>
      </c>
      <c r="D17" s="200">
        <f>IF(Inputs!D29="","",Inputs!D29)</f>
        <v>3053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>
        <f t="shared" ref="C18:M18" si="6">IF(OR(C6="",C19=""),"",C19/C6)</f>
        <v>6.7197158280424024E-2</v>
      </c>
      <c r="D18" s="153">
        <f t="shared" si="6"/>
        <v>6.6928857363578897E-2</v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>
        <f>IF(Inputs!C32="","",Inputs!C32)</f>
        <v>4805</v>
      </c>
      <c r="D19" s="200">
        <f>IF(Inputs!D32="","",Inputs!D32)</f>
        <v>4765</v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6.1477358543339022E-2</v>
      </c>
      <c r="D20" s="153">
        <f t="shared" si="7"/>
        <v>5.9863754477140249E-2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>
        <f>IF(Inputs!C33="","",Inputs!C33)</f>
        <v>4396</v>
      </c>
      <c r="D21" s="200">
        <f>IF(Inputs!D33="","",Inputs!D33)</f>
        <v>4262</v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19800.281045751635</v>
      </c>
      <c r="D22" s="162">
        <f t="shared" ref="D22:M22" si="8">IF(D6="","",D14-MAX(D16,0)-MAX(D17,0)-ABS(MAX(D21,0)-MAX(D19,0)))</f>
        <v>22704.797385620914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0.21183138477889971</v>
      </c>
      <c r="D23" s="154">
        <f t="shared" si="9"/>
        <v>0.2439661493082379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15147.215000000002</v>
      </c>
      <c r="D24" s="77">
        <f>IF(D6="","",D22*(1-Fin_Analysis!$I$84))</f>
        <v>17369.169999999998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-0.12792522613343046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45107</v>
      </c>
      <c r="E26" s="49">
        <f t="shared" ref="E26" si="11">EOMONTH(EDATE(D26,-12),0)</f>
        <v>44742</v>
      </c>
      <c r="F26" s="49">
        <f t="shared" ref="F26" si="12">EOMONTH(EDATE(E26,-12),0)</f>
        <v>44377</v>
      </c>
      <c r="G26" s="49">
        <f t="shared" ref="G26" si="13">EOMONTH(EDATE(F26,-12),0)</f>
        <v>44012</v>
      </c>
      <c r="H26" s="49">
        <f t="shared" ref="H26" si="14">EOMONTH(EDATE(G26,-12),0)</f>
        <v>43646</v>
      </c>
      <c r="I26" s="49">
        <f t="shared" ref="I26" si="15">EOMONTH(EDATE(H26,-12),0)</f>
        <v>43281</v>
      </c>
      <c r="J26" s="49">
        <f t="shared" ref="J26" si="16">EOMONTH(EDATE(I26,-12),0)</f>
        <v>42916</v>
      </c>
      <c r="K26" s="49">
        <f t="shared" ref="K26" si="17">EOMONTH(EDATE(J26,-12),0)</f>
        <v>42551</v>
      </c>
      <c r="L26" s="49">
        <f t="shared" ref="L26" si="18">EOMONTH(EDATE(K26,-12),0)</f>
        <v>42185</v>
      </c>
      <c r="M26" s="49">
        <f t="shared" ref="M26" si="19">EOMONTH(EDATE(L26,-12),0)</f>
        <v>41820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818094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248663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17115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502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62012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145011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10498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116589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127087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611071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4354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119705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698389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>
        <f>IF(C6="","",C14/MAX(C39,0))</f>
        <v>3.4730330869689581E-2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0.54949235029228316</v>
      </c>
      <c r="D42" s="157">
        <f t="shared" si="34"/>
        <v>0.51600533745347288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0.10108242664951193</v>
      </c>
      <c r="D43" s="154">
        <f t="shared" si="35"/>
        <v>0.10287239272420816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5.6582664391799292E-2</v>
      </c>
      <c r="D45" s="154">
        <f t="shared" si="37"/>
        <v>4.2882224875342372E-2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1.0218987976510586E-2</v>
      </c>
      <c r="D46" s="154">
        <f t="shared" ref="D46:M46" si="38">IF(D6="","",MAX(D12,0)/D6)</f>
        <v>1.2264942964802092E-2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5.719799737085E-3</v>
      </c>
      <c r="D47" s="154">
        <f t="shared" ref="D47:M47" si="39">IF(D6="","",ABS(MAX(D21,0)-MAX(D19,0))/D6)</f>
        <v>7.0651028864386544E-3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0.27690377095281005</v>
      </c>
      <c r="D48" s="154">
        <f t="shared" si="40"/>
        <v>0.31890999909573586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0.23935054401029285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7.0203898973512716E-3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>
        <f>IF(C36="","",(C27-C36)/C27)</f>
        <v>0.25305527237701292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>
        <f t="shared" ref="C54:M54" si="44">IF(OR(C22="",C35=""),"",IF(C35&lt;=0,"-",C22/C35))</f>
        <v>0.15580099495425681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0.20434053388692244</v>
      </c>
      <c r="D55" s="154">
        <f t="shared" si="45"/>
        <v>0.13446497443458727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>
        <f t="shared" ref="C56:M56" si="46">IF(C28="","",C28/C31)</f>
        <v>4.0099174353350966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611071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606717</v>
      </c>
      <c r="K3" s="24"/>
    </row>
    <row r="4" spans="1:11" ht="15" customHeight="1" x14ac:dyDescent="0.4">
      <c r="B4" s="3" t="s">
        <v>25</v>
      </c>
      <c r="C4" s="87"/>
      <c r="D4" s="65">
        <f>D3-I3</f>
        <v>4354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4.0099174353350966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40428.799999999988</v>
      </c>
      <c r="E6" s="56">
        <f>1-D6/D3</f>
        <v>0.93383943927956004</v>
      </c>
      <c r="F6" s="87"/>
      <c r="G6" s="87"/>
      <c r="H6" s="1" t="s">
        <v>30</v>
      </c>
      <c r="I6" s="63">
        <f>(C24+C25)/I28</f>
        <v>0.54963555440882406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13.951644423403231</v>
      </c>
      <c r="E7" s="11" t="str">
        <f>Dashboard!H3</f>
        <v>HKD</v>
      </c>
      <c r="H7" s="1" t="s">
        <v>31</v>
      </c>
      <c r="I7" s="63">
        <f>C24/I28</f>
        <v>0.53757337289556861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16221</v>
      </c>
      <c r="D11" s="199">
        <f>Inputs!D48</f>
        <v>0.9</v>
      </c>
      <c r="E11" s="88">
        <f t="shared" ref="E11:E22" si="0">C11*D11</f>
        <v>14598.9</v>
      </c>
      <c r="F11" s="112"/>
      <c r="G11" s="87"/>
      <c r="H11" s="3" t="s">
        <v>39</v>
      </c>
      <c r="I11" s="40">
        <f>Inputs!C73</f>
        <v>10498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17115</v>
      </c>
      <c r="D13" s="199">
        <f>Inputs!D50</f>
        <v>0.6</v>
      </c>
      <c r="E13" s="88">
        <f t="shared" si="0"/>
        <v>10269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748</v>
      </c>
      <c r="D15" s="199">
        <f>Inputs!D52</f>
        <v>0.5</v>
      </c>
      <c r="E15" s="88">
        <f t="shared" si="0"/>
        <v>374</v>
      </c>
      <c r="F15" s="112"/>
      <c r="G15" s="87"/>
      <c r="H15" s="1" t="s">
        <v>54</v>
      </c>
      <c r="I15" s="84">
        <f>SUM(I11:I14)</f>
        <v>10498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502</v>
      </c>
      <c r="D18" s="199">
        <f>Inputs!D55</f>
        <v>0.5</v>
      </c>
      <c r="E18" s="88">
        <f t="shared" si="0"/>
        <v>251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214077</v>
      </c>
      <c r="D19" s="199">
        <f>Inputs!D56</f>
        <v>0.6</v>
      </c>
      <c r="E19" s="88">
        <f t="shared" si="0"/>
        <v>128446.2</v>
      </c>
      <c r="F19" s="134" t="str">
        <f>Inputs!E56</f>
        <v>Y</v>
      </c>
      <c r="G19" s="30">
        <f>IF(F19="Y",0,1)</f>
        <v>0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51514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33336</v>
      </c>
      <c r="D24" s="62">
        <f>IF(E24=0,0,E24/C24)</f>
        <v>0.74597732181425491</v>
      </c>
      <c r="E24" s="88">
        <f>SUM(E11:E14)</f>
        <v>24867.9</v>
      </c>
      <c r="F24" s="113">
        <f>E24/$E$28</f>
        <v>0.16154375334141879</v>
      </c>
      <c r="G24" s="87"/>
    </row>
    <row r="25" spans="2:10" ht="15" customHeight="1" x14ac:dyDescent="0.4">
      <c r="B25" s="23" t="s">
        <v>55</v>
      </c>
      <c r="C25" s="61">
        <f>SUM(C15:C17)</f>
        <v>748</v>
      </c>
      <c r="D25" s="62">
        <f>IF(E25=0,0,E25/C25)</f>
        <v>0.5</v>
      </c>
      <c r="E25" s="88">
        <f>SUM(E15:E17)</f>
        <v>374</v>
      </c>
      <c r="F25" s="113">
        <f>E25/$E$28</f>
        <v>2.4295321981225044E-3</v>
      </c>
      <c r="G25" s="87"/>
      <c r="H25" s="23" t="s">
        <v>56</v>
      </c>
      <c r="I25" s="63">
        <f>E28/I28</f>
        <v>2.4824082435657617</v>
      </c>
    </row>
    <row r="26" spans="2:10" ht="15" customHeight="1" x14ac:dyDescent="0.4">
      <c r="B26" s="23" t="s">
        <v>57</v>
      </c>
      <c r="C26" s="61">
        <f>C18+C19+C20</f>
        <v>214579</v>
      </c>
      <c r="D26" s="62">
        <f>IF(E26=0,0,E26/C26)</f>
        <v>0.59976605352807122</v>
      </c>
      <c r="E26" s="88">
        <f>E18+E19+E20</f>
        <v>128697.2</v>
      </c>
      <c r="F26" s="113">
        <f>E26/$E$28</f>
        <v>0.83602671446045862</v>
      </c>
      <c r="G26" s="87"/>
      <c r="H26" s="23" t="s">
        <v>58</v>
      </c>
      <c r="I26" s="63">
        <f>E24/($I$28-I22)</f>
        <v>2.3688226328824538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60</v>
      </c>
      <c r="I27" s="63">
        <f>(E25+E24)/$I$28</f>
        <v>0.40704863574791977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15</v>
      </c>
      <c r="C28" s="79">
        <f>SUM(C11:C22)</f>
        <v>248663</v>
      </c>
      <c r="D28" s="57">
        <f>E28/C28</f>
        <v>0.61906717123174737</v>
      </c>
      <c r="E28" s="70">
        <f>SUM(E24:E27)</f>
        <v>153939.1</v>
      </c>
      <c r="F28" s="112"/>
      <c r="G28" s="87"/>
      <c r="H28" s="78" t="s">
        <v>16</v>
      </c>
      <c r="I28" s="207">
        <f>Inputs!C77</f>
        <v>62012</v>
      </c>
      <c r="J28" s="32">
        <f>IF(J26="",1,0)+IF(J27="",1,0)+IF(J46="",1,0)+IF(J47="",1,0)</f>
        <v>1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116589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1681</v>
      </c>
      <c r="D32" s="199">
        <f>Inputs!D62</f>
        <v>0.5</v>
      </c>
      <c r="E32" s="88">
        <f t="shared" si="1"/>
        <v>840.5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116589</v>
      </c>
      <c r="J34" s="87"/>
    </row>
    <row r="35" spans="2:10" ht="13.9" x14ac:dyDescent="0.4">
      <c r="B35" s="3" t="s">
        <v>70</v>
      </c>
      <c r="C35" s="40">
        <f>Inputs!C65</f>
        <v>101055</v>
      </c>
      <c r="D35" s="199">
        <f>Inputs!D65</f>
        <v>0.1</v>
      </c>
      <c r="E35" s="88">
        <f t="shared" si="1"/>
        <v>10105.5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408424</v>
      </c>
      <c r="D36" s="199">
        <f>Inputs!D66</f>
        <v>0.2</v>
      </c>
      <c r="E36" s="88">
        <f t="shared" si="1"/>
        <v>81684.800000000003</v>
      </c>
      <c r="F36" s="134" t="str">
        <f>Inputs!E66</f>
        <v>Y</v>
      </c>
      <c r="G36" s="30">
        <f>IF(F36="Y",0,1)</f>
        <v>0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50190</v>
      </c>
      <c r="D38" s="199">
        <f>Inputs!D68</f>
        <v>0.1</v>
      </c>
      <c r="E38" s="88">
        <f t="shared" si="1"/>
        <v>5019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4338</v>
      </c>
      <c r="D40" s="199">
        <f>Inputs!D70</f>
        <v>0.05</v>
      </c>
      <c r="E40" s="88">
        <f t="shared" si="1"/>
        <v>216.9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3743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28422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102736</v>
      </c>
      <c r="D45" s="62">
        <f>IF(E45=0,0,E45/C45)</f>
        <v>0.10654493069615324</v>
      </c>
      <c r="E45" s="88">
        <f>SUM(E32:E35)</f>
        <v>10946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458614</v>
      </c>
      <c r="D46" s="62">
        <f>IF(E46=0,0,E46/C46)</f>
        <v>0.18905615615746577</v>
      </c>
      <c r="E46" s="88">
        <f>E36+E37+E38+E39</f>
        <v>86703.8</v>
      </c>
      <c r="F46" s="87"/>
      <c r="G46" s="87"/>
      <c r="H46" s="23" t="s">
        <v>81</v>
      </c>
      <c r="I46" s="63">
        <f>(E44+E24)/E64</f>
        <v>0.19567619032631192</v>
      </c>
      <c r="J46" s="8" t="str">
        <f>IF(I46&lt;1,"Liquidity Problem!","")</f>
        <v>Liquidity Problem!</v>
      </c>
    </row>
    <row r="47" spans="2:10" ht="15" customHeight="1" x14ac:dyDescent="0.4">
      <c r="B47" s="23" t="s">
        <v>82</v>
      </c>
      <c r="C47" s="61">
        <f>C40+C41+C42</f>
        <v>8081</v>
      </c>
      <c r="D47" s="62">
        <f>IF(E47=0,0,E47/C47)</f>
        <v>2.6840737532483606E-2</v>
      </c>
      <c r="E47" s="88">
        <f>E40+E41+E42</f>
        <v>216.9</v>
      </c>
      <c r="F47" s="87"/>
      <c r="G47" s="87"/>
      <c r="H47" s="23" t="s">
        <v>83</v>
      </c>
      <c r="I47" s="63">
        <f>(E44+E45+E24+E25)/$I$49</f>
        <v>0.17480135057457385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84</v>
      </c>
      <c r="C48" s="81">
        <f>SUM(C30:C42)</f>
        <v>569431</v>
      </c>
      <c r="D48" s="82">
        <f>E48/C48</f>
        <v>0.17186753092121784</v>
      </c>
      <c r="E48" s="76">
        <f>SUM(E30:E42)</f>
        <v>97866.7</v>
      </c>
      <c r="F48" s="87"/>
      <c r="G48" s="87"/>
      <c r="H48" s="80" t="s">
        <v>85</v>
      </c>
      <c r="I48" s="208">
        <f>Inputs!C82</f>
        <v>145011</v>
      </c>
      <c r="J48" s="8"/>
    </row>
    <row r="49" spans="2:11" ht="15" customHeight="1" thickTop="1" x14ac:dyDescent="0.4">
      <c r="B49" s="3" t="s">
        <v>14</v>
      </c>
      <c r="C49" s="61">
        <f>C28+C48</f>
        <v>818094</v>
      </c>
      <c r="D49" s="56">
        <f>E49/C49</f>
        <v>0.30779568118089118</v>
      </c>
      <c r="E49" s="88">
        <f>E28+E48</f>
        <v>251805.8</v>
      </c>
      <c r="F49" s="87"/>
      <c r="G49" s="87"/>
      <c r="H49" s="3" t="s">
        <v>86</v>
      </c>
      <c r="I49" s="52">
        <f>I28+I48</f>
        <v>207023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4354</v>
      </c>
      <c r="D53" s="29">
        <f>IF(E53=0, 0,E53/C53)</f>
        <v>1</v>
      </c>
      <c r="E53" s="88">
        <f>IF(C53=0,0,MAX(C53,C53*Dashboard!G23))</f>
        <v>4354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127087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103484</v>
      </c>
      <c r="D61" s="56">
        <f t="shared" ref="D61:D70" si="2">IF(E61=0,0,E61/C61)</f>
        <v>0.10938889103629547</v>
      </c>
      <c r="E61" s="52">
        <f>E14+E15+(E19*G19)+(E20*G20)+E31+E32+(E35*G35)+(E36*G36)+(E37*G37)</f>
        <v>11320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16221</v>
      </c>
      <c r="D62" s="107">
        <f t="shared" si="2"/>
        <v>0.9</v>
      </c>
      <c r="E62" s="118">
        <f>E11+E30</f>
        <v>14598.9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119705</v>
      </c>
      <c r="D63" s="29">
        <f t="shared" si="2"/>
        <v>0.21652311933503196</v>
      </c>
      <c r="E63" s="61">
        <f>E61+E62</f>
        <v>25918.9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127087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-7382</v>
      </c>
      <c r="D65" s="29">
        <f t="shared" si="2"/>
        <v>13.704700623137361</v>
      </c>
      <c r="E65" s="61">
        <f>E63-E64</f>
        <v>-101168.1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698389</v>
      </c>
      <c r="D68" s="29">
        <f t="shared" si="2"/>
        <v>0.32343994535996412</v>
      </c>
      <c r="E68" s="68">
        <f>E49-E63</f>
        <v>225886.9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79936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618453</v>
      </c>
      <c r="D70" s="29">
        <f t="shared" si="2"/>
        <v>0.2359935193135129</v>
      </c>
      <c r="E70" s="68">
        <f>E68-E69</f>
        <v>145950.9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45473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71506</v>
      </c>
      <c r="D74" s="210"/>
      <c r="E74" s="239">
        <f>Inputs!E91</f>
        <v>71506</v>
      </c>
      <c r="F74" s="210"/>
      <c r="H74" s="239">
        <f>Inputs!F91</f>
        <v>71506</v>
      </c>
      <c r="I74" s="210"/>
      <c r="K74" s="24"/>
    </row>
    <row r="75" spans="1:11" ht="15" customHeight="1" x14ac:dyDescent="0.4">
      <c r="B75" s="104" t="s">
        <v>106</v>
      </c>
      <c r="C75" s="77">
        <f>Data!C8</f>
        <v>39292</v>
      </c>
      <c r="D75" s="160">
        <f>C75/$C$74</f>
        <v>0.54949235029228316</v>
      </c>
      <c r="E75" s="239">
        <f>Inputs!E92</f>
        <v>39292</v>
      </c>
      <c r="F75" s="161">
        <f>E75/E74</f>
        <v>0.54949235029228316</v>
      </c>
      <c r="H75" s="239">
        <f>Inputs!F92</f>
        <v>39292</v>
      </c>
      <c r="I75" s="161">
        <f>H75/$H$74</f>
        <v>0.54949235029228316</v>
      </c>
      <c r="K75" s="24"/>
    </row>
    <row r="76" spans="1:11" ht="15" customHeight="1" x14ac:dyDescent="0.4">
      <c r="B76" s="35" t="s">
        <v>96</v>
      </c>
      <c r="C76" s="162">
        <f>C74-C75</f>
        <v>32214</v>
      </c>
      <c r="D76" s="211"/>
      <c r="E76" s="163">
        <f>E74-E75</f>
        <v>32214</v>
      </c>
      <c r="F76" s="211"/>
      <c r="H76" s="163">
        <f>H74-H75</f>
        <v>32214</v>
      </c>
      <c r="I76" s="211"/>
      <c r="K76" s="24"/>
    </row>
    <row r="77" spans="1:11" ht="15" customHeight="1" x14ac:dyDescent="0.4">
      <c r="B77" s="104" t="s">
        <v>248</v>
      </c>
      <c r="C77" s="77">
        <f>Data!C10+MAX(Data!C11,0)</f>
        <v>7228</v>
      </c>
      <c r="D77" s="160">
        <f>C77/$C$74</f>
        <v>0.10108242664951193</v>
      </c>
      <c r="E77" s="239">
        <f>Inputs!E93</f>
        <v>7228</v>
      </c>
      <c r="F77" s="161">
        <f>E77/E74</f>
        <v>0.10108242664951193</v>
      </c>
      <c r="H77" s="239">
        <f>Inputs!F93</f>
        <v>7228</v>
      </c>
      <c r="I77" s="161">
        <f>H77/$H$74</f>
        <v>0.10108242664951193</v>
      </c>
      <c r="K77" s="24"/>
    </row>
    <row r="78" spans="1:11" ht="15" customHeight="1" x14ac:dyDescent="0.4">
      <c r="B78" s="73" t="s">
        <v>173</v>
      </c>
      <c r="C78" s="77">
        <f>MAX(Data!C12,0)</f>
        <v>730.718954248366</v>
      </c>
      <c r="D78" s="160">
        <f>C78/$C$74</f>
        <v>1.0218987976510586E-2</v>
      </c>
      <c r="E78" s="181">
        <f>E74*F78</f>
        <v>730.718954248366</v>
      </c>
      <c r="F78" s="161">
        <f>I78</f>
        <v>1.0218987976510586E-2</v>
      </c>
      <c r="H78" s="239">
        <f>Inputs!F97</f>
        <v>730.718954248366</v>
      </c>
      <c r="I78" s="161">
        <f>H78/$H$74</f>
        <v>1.0218987976510586E-2</v>
      </c>
      <c r="K78" s="24"/>
    </row>
    <row r="79" spans="1:11" ht="15" customHeight="1" x14ac:dyDescent="0.4">
      <c r="B79" s="257" t="s">
        <v>233</v>
      </c>
      <c r="C79" s="258">
        <f>C76-C77-C78</f>
        <v>24255.281045751635</v>
      </c>
      <c r="D79" s="259">
        <f>C79/C74</f>
        <v>0.33920623508169434</v>
      </c>
      <c r="E79" s="260">
        <f>E76-E77-E78</f>
        <v>24255.281045751635</v>
      </c>
      <c r="F79" s="259">
        <f>E79/E74</f>
        <v>0.33920623508169434</v>
      </c>
      <c r="G79" s="261"/>
      <c r="H79" s="260">
        <f>H76-H77-H78</f>
        <v>24255.281045751635</v>
      </c>
      <c r="I79" s="259">
        <f>H79/H74</f>
        <v>0.33920623508169434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258</v>
      </c>
      <c r="C81" s="77">
        <f>MAX(Data!C17,0)</f>
        <v>4046</v>
      </c>
      <c r="D81" s="160">
        <f>C81/$C$74</f>
        <v>5.6582664391799292E-2</v>
      </c>
      <c r="E81" s="181">
        <f>E74*F81</f>
        <v>4046</v>
      </c>
      <c r="F81" s="161">
        <f>I81</f>
        <v>5.6582664391799292E-2</v>
      </c>
      <c r="H81" s="239">
        <f>Inputs!F94</f>
        <v>4046</v>
      </c>
      <c r="I81" s="161">
        <f>H81/$H$74</f>
        <v>5.6582664391799292E-2</v>
      </c>
      <c r="K81" s="24"/>
    </row>
    <row r="82" spans="1:11" ht="15" customHeight="1" x14ac:dyDescent="0.4">
      <c r="B82" s="28" t="s">
        <v>247</v>
      </c>
      <c r="C82" s="77">
        <f>ABS(MAX(Data!C21,0)-MAX(Data!C19,0))</f>
        <v>409</v>
      </c>
      <c r="D82" s="160">
        <f>C82/$C$74</f>
        <v>5.719799737085E-3</v>
      </c>
      <c r="E82" s="239">
        <f>Inputs!E95</f>
        <v>409</v>
      </c>
      <c r="F82" s="161">
        <f>E82/E74</f>
        <v>5.719799737085E-3</v>
      </c>
      <c r="H82" s="239">
        <f>Inputs!F95</f>
        <v>409</v>
      </c>
      <c r="I82" s="161">
        <f>H82/$H$74</f>
        <v>5.719799737085E-3</v>
      </c>
      <c r="K82" s="24"/>
    </row>
    <row r="83" spans="1:11" ht="15" customHeight="1" thickBot="1" x14ac:dyDescent="0.45">
      <c r="B83" s="105" t="s">
        <v>126</v>
      </c>
      <c r="C83" s="164">
        <f>C79-C81-C82-C80</f>
        <v>19800.281045751635</v>
      </c>
      <c r="D83" s="165">
        <f>C83/$C$74</f>
        <v>0.27690377095281005</v>
      </c>
      <c r="E83" s="166">
        <f>E79-E81-E82-E80</f>
        <v>19800.281045751635</v>
      </c>
      <c r="F83" s="165">
        <f>E83/E74</f>
        <v>0.27690377095281005</v>
      </c>
      <c r="H83" s="166">
        <f>H79-H81-H82-H80</f>
        <v>19800.281045751635</v>
      </c>
      <c r="I83" s="165">
        <f>H83/$H$74</f>
        <v>0.27690377095281005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0.23499999999999999</v>
      </c>
      <c r="E84" s="213"/>
      <c r="F84" s="180">
        <f t="shared" ref="F84" si="3">I84</f>
        <v>0.23499999999999999</v>
      </c>
      <c r="H84" s="213"/>
      <c r="I84" s="203">
        <f>Inputs!C16</f>
        <v>0.23499999999999999</v>
      </c>
      <c r="K84" s="24"/>
    </row>
    <row r="85" spans="1:11" ht="15" customHeight="1" x14ac:dyDescent="0.4">
      <c r="B85" s="264" t="s">
        <v>165</v>
      </c>
      <c r="C85" s="258">
        <f>C83*(1-I84)</f>
        <v>15147.215000000002</v>
      </c>
      <c r="D85" s="259">
        <f>C85/$C$74</f>
        <v>0.21183138477889971</v>
      </c>
      <c r="E85" s="265">
        <f>E83*(1-F84)</f>
        <v>15147.215000000002</v>
      </c>
      <c r="F85" s="259">
        <f>E85/E74</f>
        <v>0.21183138477889971</v>
      </c>
      <c r="G85" s="261"/>
      <c r="H85" s="265">
        <f>H83*(1-I84)</f>
        <v>15147.215000000002</v>
      </c>
      <c r="I85" s="259">
        <f>H85/$H$74</f>
        <v>0.21183138477889971</v>
      </c>
      <c r="K85" s="24"/>
    </row>
    <row r="86" spans="1:11" ht="15" customHeight="1" x14ac:dyDescent="0.4">
      <c r="B86" s="87" t="s">
        <v>161</v>
      </c>
      <c r="C86" s="168">
        <f>C85*Data!C4/Common_Shares</f>
        <v>5.2271785876612675</v>
      </c>
      <c r="D86" s="210"/>
      <c r="E86" s="169">
        <f>E85*Data!C4/Common_Shares</f>
        <v>5.2271785876612675</v>
      </c>
      <c r="F86" s="210"/>
      <c r="H86" s="169">
        <f>H85*Data!C4/Common_Shares</f>
        <v>5.2271785876612675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6.6801004315159965E-2</v>
      </c>
      <c r="D87" s="210"/>
      <c r="E87" s="263">
        <f>E86*Exchange_Rate/Dashboard!G3</f>
        <v>6.6801004315159965E-2</v>
      </c>
      <c r="F87" s="210"/>
      <c r="H87" s="263">
        <f>H86*Exchange_Rate/Dashboard!G3</f>
        <v>6.6801004315159965E-2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3.75</v>
      </c>
      <c r="D88" s="167">
        <f>C88/C86</f>
        <v>0.71740422430790074</v>
      </c>
      <c r="E88" s="171">
        <f>Inputs!E98</f>
        <v>3.75</v>
      </c>
      <c r="F88" s="167">
        <f>E88/E86</f>
        <v>0.71740422430790074</v>
      </c>
      <c r="H88" s="171">
        <f>Inputs!F98</f>
        <v>3.75</v>
      </c>
      <c r="I88" s="167">
        <f>H88/H86</f>
        <v>0.71740422430790074</v>
      </c>
      <c r="K88" s="24"/>
    </row>
    <row r="89" spans="1:11" ht="15" customHeight="1" x14ac:dyDescent="0.4">
      <c r="B89" s="87" t="s">
        <v>222</v>
      </c>
      <c r="C89" s="262">
        <f>C88*Exchange_Rate/Dashboard!G3</f>
        <v>4.7923322683706068E-2</v>
      </c>
      <c r="D89" s="210"/>
      <c r="E89" s="262">
        <f>E88*Exchange_Rate/Dashboard!G3</f>
        <v>4.7923322683706068E-2</v>
      </c>
      <c r="F89" s="210"/>
      <c r="H89" s="262">
        <f>H88*Exchange_Rate/Dashboard!G3</f>
        <v>4.7923322683706068E-2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6.4500000000000002E-2</v>
      </c>
      <c r="D93" s="240">
        <f>Inputs!C86</f>
        <v>5</v>
      </c>
      <c r="E93" s="87" t="s">
        <v>210</v>
      </c>
      <c r="F93" s="144">
        <f>FV(E87,D93,0,-(E86/C93))*Exchange_Rate</f>
        <v>111.97593638120861</v>
      </c>
      <c r="H93" s="87" t="s">
        <v>210</v>
      </c>
      <c r="I93" s="144">
        <f>FV(H87,D93,0,-(H86/C93))*Exchange_Rate</f>
        <v>111.97593638120861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73.47153001034998</v>
      </c>
      <c r="H94" s="87" t="s">
        <v>211</v>
      </c>
      <c r="I94" s="144">
        <f>FV(H89,D93,0,-(H88/C93))*Exchange_Rate</f>
        <v>73.47153001034998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161324.73218814866</v>
      </c>
      <c r="D97" s="214"/>
      <c r="E97" s="123">
        <f>PV(C94,D93,0,-F93)</f>
        <v>55.671830481978304</v>
      </c>
      <c r="F97" s="214"/>
      <c r="H97" s="123">
        <f>PV(C94,D93,0,-I93)</f>
        <v>55.671830481978304</v>
      </c>
      <c r="I97" s="123">
        <f>PV(C93,D93,0,-I93)</f>
        <v>81.921212951179015</v>
      </c>
      <c r="K97" s="24"/>
    </row>
    <row r="98" spans="2:11" ht="15" customHeight="1" x14ac:dyDescent="0.4">
      <c r="B98" s="28" t="s">
        <v>145</v>
      </c>
      <c r="C98" s="91">
        <f>E53*Exchange_Rate</f>
        <v>4354</v>
      </c>
      <c r="D98" s="214"/>
      <c r="E98" s="214"/>
      <c r="F98" s="214"/>
      <c r="H98" s="123">
        <f>C98*Data!$C$4/Common_Shares</f>
        <v>1.5025293805281801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-101168.1</v>
      </c>
      <c r="D99" s="215"/>
      <c r="E99" s="146">
        <f>IF(H99&gt;0,H99*(1-C94),H99*(1+C94))</f>
        <v>-40.149115529523407</v>
      </c>
      <c r="F99" s="215"/>
      <c r="H99" s="146">
        <f>C99*Data!$C$4/Common_Shares</f>
        <v>-34.912274373498619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55802.632188148651</v>
      </c>
      <c r="D100" s="109">
        <f>MIN(F100*(1-C94),E100)</f>
        <v>14.020185571926717</v>
      </c>
      <c r="E100" s="109">
        <f>MAX(E97-H98+E99,0)</f>
        <v>14.020185571926717</v>
      </c>
      <c r="F100" s="109">
        <f>(E100+H100)/2</f>
        <v>16.638606149939115</v>
      </c>
      <c r="H100" s="109">
        <f>MAX(C100*Data!$C$4/Common_Shares,0)</f>
        <v>19.257026727951509</v>
      </c>
      <c r="I100" s="109">
        <f>MAX(I97-H98+H99,0)</f>
        <v>45.506409197152223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105851.08984507072</v>
      </c>
      <c r="D103" s="109">
        <f>MIN(F103*(1-C94),E103)</f>
        <v>31.049085113728712</v>
      </c>
      <c r="E103" s="123">
        <f>PV(C94,D93,0,-F94)</f>
        <v>36.528335427916133</v>
      </c>
      <c r="F103" s="109">
        <f>(E103+H103)/2</f>
        <v>36.528335427916133</v>
      </c>
      <c r="H103" s="123">
        <f>PV(C94,D93,0,-I94)</f>
        <v>36.528335427916133</v>
      </c>
      <c r="I103" s="109">
        <f>PV(C93,D93,0,-I94)</f>
        <v>53.751520642223319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73239.253516609679</v>
      </c>
      <c r="D106" s="109">
        <f>(D100+D103)/2</f>
        <v>22.534635342827713</v>
      </c>
      <c r="E106" s="123">
        <f>(E100+E103)/2</f>
        <v>25.274260499921425</v>
      </c>
      <c r="F106" s="109">
        <f>(F100+F103)/2</f>
        <v>26.583470788927624</v>
      </c>
      <c r="H106" s="123">
        <f>(H100+H103)/2</f>
        <v>27.892681077933823</v>
      </c>
      <c r="I106" s="123">
        <f>(I100+I103)/2</f>
        <v>49.628964919687775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2024-12-03T10:03:52Z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