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A8F3F8-F38D-46FE-B926-4A88B1ED25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4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<sst xmlns="http://schemas.openxmlformats.org/spreadsheetml/2006/main" count="390" uniqueCount="268">
  <si>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</si>
  <si>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</si>
  <si>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</si>
  <si>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</si>
  <si>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</si>
  <si>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</si>
  <si>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</si>
  <si>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</si>
  <si>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</si>
  <si>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</si>
  <si>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</si>
  <si>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</si>
  <si>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</si>
  <si>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</si>
  <si>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</si>
  <si>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</si>
  <si>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</si>
  <si>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</si>
  <si>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</si>
  <si>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</si>
  <si>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</si>
  <si>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</si>
  <si>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</si>
  <si>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</si>
  <si>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</si>
  <si>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</si>
  <si>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</si>
  <si>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</si>
  <si>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</si>
  <si>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</si>
  <si>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</si>
  <si>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</si>
  <si>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</si>
  <si>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</si>
  <si>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</si>
  <si>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</si>
  <si>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</si>
  <si>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</si>
  <si>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</si>
  <si>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</si>
  <si>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</si>
  <si>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</si>
  <si>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</si>
  <si>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</si>
  <si>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</si>
  <si>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</si>
  <si>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</si>
  <si>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</si>
  <si>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</si>
  <si>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</si>
  <si>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</si>
  <si>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</si>
  <si>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</si>
  <si>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</si>
  <si>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</si>
  <si>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</si>
  <si>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</si>
  <si>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</si>
  <si>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</si>
  <si>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</si>
  <si>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</si>
  <si>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</si>
  <si>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</si>
  <si>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</si>
  <si>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</si>
  <si>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</si>
  <si>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</si>
  <si>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</si>
  <si>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</si>
  <si>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</si>
  <si>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</si>
  <si>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</si>
  <si>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</si>
  <si>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</si>
  <si>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</si>
  <si>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</si>
  <si>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</si>
  <si>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</si>
  <si>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</si>
  <si>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</si>
  <si>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</si>
  <si>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</si>
  <si>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</si>
  <si>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</si>
  <si>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</si>
  <si>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</si>
  <si>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</si>
  <si>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</si>
  <si>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</si>
  <si>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</si>
  <si>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</si>
  <si>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</si>
  <si>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</si>
  <si>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</si>
  <si>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</si>
  <si>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</si>
  <si>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</si>
  <si>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</si>
  <si>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</si>
  <si>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</si>
  <si>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</si>
  <si>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</si>
  <si>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</si>
  <si>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</si>
  <si>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</si>
  <si>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</si>
  <si>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</si>
  <si>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</si>
  <si>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</si>
  <si>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</si>
  <si>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</si>
  <si>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</si>
  <si>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</si>
  <si>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</si>
  <si>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</si>
  <si>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</si>
  <si>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</si>
  <si>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</si>
  <si>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</si>
  <si>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</si>
  <si>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</si>
  <si>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</si>
  <si>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</si>
  <si>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</si>
  <si>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</si>
  <si>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</si>
  <si>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</si>
  <si>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</si>
  <si>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</si>
  <si>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</si>
  <si>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</si>
  <si>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</si>
  <si>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</si>
  <si>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</si>
  <si>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</si>
  <si>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</si>
  <si>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</si>
  <si>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</si>
  <si>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</si>
  <si>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</si>
  <si>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</si>
  <si>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</si>
  <si>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</si>
  <si>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</si>
  <si>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</si>
  <si>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</si>
  <si>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</si>
  <si>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</si>
  <si>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</si>
  <si>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</si>
  <si>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</si>
  <si>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</si>
  <si>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</si>
  <si>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</si>
  <si>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</si>
  <si>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</si>
  <si>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</si>
  <si>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</si>
  <si>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</si>
  <si>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</si>
  <si>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</si>
  <si>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</si>
  <si>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</si>
  <si>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</si>
  <si>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</si>
  <si>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</si>
  <si>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</si>
  <si>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</si>
  <si>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</si>
  <si>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</si>
  <si>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</si>
  <si>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</si>
  <si>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</si>
  <si>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</si>
  <si>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</si>
  <si>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</si>
  <si>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</si>
  <si>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</si>
  <si>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</si>
  <si>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</si>
  <si>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</si>
  <si>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</si>
  <si>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</si>
  <si>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</si>
  <si>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</si>
  <si>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</si>
  <si>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</si>
  <si>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</si>
  <si>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</si>
  <si>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</si>
  <si>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</si>
  <si>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</si>
  <si>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</si>
  <si>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</si>
  <si>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</si>
  <si>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</si>
  <si>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</si>
  <si>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</si>
  <si>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</si>
  <si>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</si>
  <si>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</si>
  <si>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</si>
  <si>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</si>
  <si>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</si>
  <si>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</si>
  <si>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</si>
  <si>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</si>
  <si>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</si>
  <si>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</si>
  <si>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</si>
  <si>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</si>
  <si>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</si>
  <si>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</si>
  <si>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</si>
  <si>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</si>
  <si>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</si>
  <si>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</si>
  <si>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</si>
  <si>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</si>
  <si>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</si>
  <si>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</si>
  <si>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</si>
  <si>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</si>
  <si>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</si>
  <si>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</si>
  <si>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</si>
  <si>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</si>
  <si>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</si>
  <si>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</si>
  <si>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</si>
  <si>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</si>
  <si>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</si>
  <si>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</si>
  <si>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</si>
  <si>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</si>
  <si>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</si>
  <si>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</si>
  <si>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</si>
  <si>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</si>
  <si>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</si>
  <si>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</si>
  <si>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</si>
  <si>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</si>
  <si>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</si>
  <si>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</si>
  <si>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</si>
  <si>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</si>
  <si>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</si>
  <si>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</si>
  <si>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</si>
  <si>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</si>
  <si>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</si>
  <si>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</si>
  <si>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</si>
  <si>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</si>
  <si>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</si>
  <si>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</si>
  <si>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</si>
  <si>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</si>
  <si>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</si>
  <si>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</si>
  <si>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0398.HK</t>
  </si>
  <si>
    <t>東方表行集團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</si>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</sst>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45619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487358224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3638758</v>
      </c>
      <c r="D25" s="150">
        <v>3704677</v>
      </c>
      <c r="E25" s="150">
        <v>3639774</v>
      </c>
      <c r="F25" s="150">
        <v>3504022</v>
      </c>
      <c r="G25" s="150">
        <v>2352683</v>
      </c>
      <c r="H25" s="150">
        <v>2437184</v>
      </c>
      <c r="I25" s="150">
        <v>2891692</v>
      </c>
      <c r="J25" s="150">
        <v>3142295</v>
      </c>
      <c r="K25" s="150"/>
      <c r="L25" s="150"/>
      <c r="M25" s="150"/>
    </row>
    <row r="26" spans="2:13" ht="13.9" x14ac:dyDescent="0.4">
      <c r="B26" s="97" t="s">
        <v>106</v>
      </c>
      <c r="C26" s="151">
        <v>2488028</v>
      </c>
      <c r="D26" s="151">
        <v>2515967</v>
      </c>
      <c r="E26" s="151">
        <v>2459489</v>
      </c>
      <c r="F26" s="151">
        <v>2541906</v>
      </c>
      <c r="G26" s="151">
        <v>1707356</v>
      </c>
      <c r="H26" s="151">
        <v>1834224</v>
      </c>
      <c r="I26" s="151">
        <v>2284817</v>
      </c>
      <c r="J26" s="151">
        <v>2634028</v>
      </c>
      <c r="K26" s="151"/>
      <c r="L26" s="151"/>
      <c r="M26" s="151"/>
    </row>
    <row r="27" spans="2:13" ht="13.9" x14ac:dyDescent="0.4">
      <c r="B27" s="97" t="s">
        <v>104</v>
      </c>
      <c r="C27" s="151">
        <v>796708</v>
      </c>
      <c r="D27" s="151">
        <v>780002</v>
      </c>
      <c r="E27" s="151">
        <v>748422</v>
      </c>
      <c r="F27" s="151">
        <v>643444</v>
      </c>
      <c r="G27" s="151">
        <v>489743</v>
      </c>
      <c r="H27" s="151">
        <v>475518</v>
      </c>
      <c r="I27" s="151">
        <v>481847</v>
      </c>
      <c r="J27" s="151">
        <v>501814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13663</v>
      </c>
      <c r="D29" s="151">
        <v>14612</v>
      </c>
      <c r="E29" s="151">
        <v>12033</v>
      </c>
      <c r="F29" s="151">
        <v>10203</v>
      </c>
      <c r="G29" s="151">
        <v>14210</v>
      </c>
      <c r="H29" s="151">
        <v>1959</v>
      </c>
      <c r="I29" s="151">
        <v>1843</v>
      </c>
      <c r="J29" s="151">
        <v>3730</v>
      </c>
      <c r="K29" s="151"/>
      <c r="L29" s="151"/>
      <c r="M29" s="151"/>
    </row>
    <row r="30" spans="2:13" ht="13.9" x14ac:dyDescent="0.4">
      <c r="B30" s="99" t="s">
        <v>111</v>
      </c>
      <c r="C30" s="151">
        <v>662</v>
      </c>
      <c r="D30" s="151">
        <v>92</v>
      </c>
      <c r="E30" s="151">
        <v>402</v>
      </c>
      <c r="F30" s="151">
        <v>-632</v>
      </c>
      <c r="G30" s="151">
        <v>-1192</v>
      </c>
      <c r="H30" s="151">
        <v>-60</v>
      </c>
      <c r="I30" s="151">
        <v>-78</v>
      </c>
      <c r="J30" s="151">
        <v>-286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0.061+0.058+0.185</f>
        <v>0.30399999999999999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8.1501340482573723E-2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3638758</v>
      </c>
      <c r="D91" s="210"/>
      <c r="E91" s="252">
        <f>C91*0.7</f>
        <v>2547130.5999999996</v>
      </c>
      <c r="F91" s="252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60">
        <f>C92/C91</f>
        <v>0.68375747988736812</v>
      </c>
      <c r="E92" s="253">
        <f>E91*D92</f>
        <v>1741619.5999999996</v>
      </c>
      <c r="F92" s="253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60">
        <f>C93/C91</f>
        <v>0.21895053202218998</v>
      </c>
      <c r="E93" s="253">
        <f>E91*D93</f>
        <v>557695.59999999986</v>
      </c>
      <c r="F93" s="253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60">
        <f>C94/C91</f>
        <v>3.7548526172941428E-3</v>
      </c>
      <c r="E94" s="254"/>
      <c r="F94" s="253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60">
        <f>C97/C91</f>
        <v>2.4257361073934199E-4</v>
      </c>
      <c r="E97" s="254"/>
      <c r="F97" s="253">
        <f>F91*D97</f>
        <v>706.13333333333333</v>
      </c>
    </row>
    <row r="98" spans="2:7" ht="13.9" x14ac:dyDescent="0.4">
      <c r="B98" s="86" t="s">
        <v>208</v>
      </c>
      <c r="C98" s="238">
        <f>C44</f>
        <v>0.30399999999999999</v>
      </c>
      <c r="D98" s="267"/>
      <c r="E98" s="255">
        <f>F98*0.9</f>
        <v>0.21887999999999999</v>
      </c>
      <c r="F98" s="255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0398.HK</v>
      </c>
      <c r="D3" s="277"/>
      <c r="E3" s="87"/>
      <c r="F3" s="3" t="s">
        <v>1</v>
      </c>
      <c r="G3" s="132">
        <v>3.73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東方表行集團</v>
      </c>
      <c r="D4" s="279"/>
      <c r="E4" s="87"/>
      <c r="F4" s="3" t="s">
        <v>3</v>
      </c>
      <c r="G4" s="282">
        <f>Inputs!C10</f>
        <v>487358224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45619</v>
      </c>
      <c r="D5" s="281"/>
      <c r="E5" s="34"/>
      <c r="F5" s="35" t="s">
        <v>100</v>
      </c>
      <c r="G5" s="274">
        <f>G3*G4/1000000</f>
        <v>1817.8461755200001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0.68375747988736812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3.7548526172941428E-3</v>
      </c>
      <c r="F24" s="140" t="s">
        <v>260</v>
      </c>
      <c r="G24" s="269">
        <f>G3/(Fin_Analysis!H86*G7)</f>
        <v>8.9247565393365615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0.5819036971492364</v>
      </c>
    </row>
    <row r="26" spans="1:8" ht="15.75" customHeight="1" x14ac:dyDescent="0.4">
      <c r="B26" s="138" t="s">
        <v>174</v>
      </c>
      <c r="C26" s="172">
        <f>Fin_Analysis!I83</f>
        <v>9.3294561862408407E-2</v>
      </c>
      <c r="F26" s="141" t="s">
        <v>194</v>
      </c>
      <c r="G26" s="179">
        <f>Fin_Analysis!H88*Exchange_Rate/G3</f>
        <v>6.5201072386058975E-2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2.0462127142723596</v>
      </c>
      <c r="D29" s="129">
        <f>G29*(1+G20)</f>
        <v>4.3504215585871577</v>
      </c>
      <c r="E29" s="87"/>
      <c r="F29" s="131">
        <f>IF(Fin_Analysis!C108="Profit",Fin_Analysis!F100,IF(Fin_Analysis!C108="Dividend",Fin_Analysis!F103,Fin_Analysis!F106))</f>
        <v>2.407309075614541</v>
      </c>
      <c r="G29" s="273">
        <f>IF(Fin_Analysis!C108="Profit",Fin_Analysis!I100,IF(Fin_Analysis!C108="Dividend",Fin_Analysis!I103,Fin_Analysis!I106))</f>
        <v>3.7829752683366591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3638758</v>
      </c>
      <c r="D6" s="201">
        <f>IF(Inputs!D25="","",Inputs!D25)</f>
        <v>3704677</v>
      </c>
      <c r="E6" s="201">
        <f>IF(Inputs!E25="","",Inputs!E25)</f>
        <v>3639774</v>
      </c>
      <c r="F6" s="201">
        <f>IF(Inputs!F25="","",Inputs!F25)</f>
        <v>3504022</v>
      </c>
      <c r="G6" s="201">
        <f>IF(Inputs!G25="","",Inputs!G25)</f>
        <v>2352683</v>
      </c>
      <c r="H6" s="201">
        <f>IF(Inputs!H25="","",Inputs!H25)</f>
        <v>2437184</v>
      </c>
      <c r="I6" s="201">
        <f>IF(Inputs!I25="","",Inputs!I25)</f>
        <v>2891692</v>
      </c>
      <c r="J6" s="201">
        <f>IF(Inputs!J25="","",Inputs!J25)</f>
        <v>3142295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2488028</v>
      </c>
      <c r="D8" s="200">
        <f>IF(Inputs!D26="","",Inputs!D26)</f>
        <v>2515967</v>
      </c>
      <c r="E8" s="200">
        <f>IF(Inputs!E26="","",Inputs!E26)</f>
        <v>2459489</v>
      </c>
      <c r="F8" s="200">
        <f>IF(Inputs!F26="","",Inputs!F26)</f>
        <v>2541906</v>
      </c>
      <c r="G8" s="200">
        <f>IF(Inputs!G26="","",Inputs!G26)</f>
        <v>1707356</v>
      </c>
      <c r="H8" s="200">
        <f>IF(Inputs!H26="","",Inputs!H26)</f>
        <v>1834224</v>
      </c>
      <c r="I8" s="200">
        <f>IF(Inputs!I26="","",Inputs!I26)</f>
        <v>2284817</v>
      </c>
      <c r="J8" s="200">
        <f>IF(Inputs!J26="","",Inputs!J26)</f>
        <v>2634028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1150730</v>
      </c>
      <c r="D9" s="152">
        <f t="shared" si="2"/>
        <v>1188710</v>
      </c>
      <c r="E9" s="152">
        <f t="shared" si="2"/>
        <v>1180285</v>
      </c>
      <c r="F9" s="152">
        <f t="shared" si="2"/>
        <v>962116</v>
      </c>
      <c r="G9" s="152">
        <f t="shared" si="2"/>
        <v>645327</v>
      </c>
      <c r="H9" s="152">
        <f t="shared" si="2"/>
        <v>602960</v>
      </c>
      <c r="I9" s="152">
        <f t="shared" si="2"/>
        <v>606875</v>
      </c>
      <c r="J9" s="152">
        <f t="shared" si="2"/>
        <v>508267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796708</v>
      </c>
      <c r="D10" s="200">
        <f>IF(Inputs!D27="","",Inputs!D27)</f>
        <v>780002</v>
      </c>
      <c r="E10" s="200">
        <f>IF(Inputs!E27="","",Inputs!E27)</f>
        <v>748422</v>
      </c>
      <c r="F10" s="200">
        <f>IF(Inputs!F27="","",Inputs!F27)</f>
        <v>643444</v>
      </c>
      <c r="G10" s="200">
        <f>IF(Inputs!G27="","",Inputs!G27)</f>
        <v>489743</v>
      </c>
      <c r="H10" s="200">
        <f>IF(Inputs!H27="","",Inputs!H27)</f>
        <v>475518</v>
      </c>
      <c r="I10" s="200">
        <f>IF(Inputs!I27="","",Inputs!I27)</f>
        <v>481847</v>
      </c>
      <c r="J10" s="200">
        <f>IF(Inputs!J27="","",Inputs!J27)</f>
        <v>501814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882.66666666666663</v>
      </c>
      <c r="D12" s="200">
        <f>IF(Inputs!D30="","",MAX(Inputs!D30,0)/(1-Fin_Analysis!$I$84))</f>
        <v>122.66666666666667</v>
      </c>
      <c r="E12" s="200">
        <f>IF(Inputs!E30="","",MAX(Inputs!E30,0)/(1-Fin_Analysis!$I$84))</f>
        <v>536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>
        <f>IF(Inputs!I30="","",MAX(Inputs!I30,0)/(1-Fin_Analysis!$I$84))</f>
        <v>0</v>
      </c>
      <c r="J12" s="200">
        <f>IF(Inputs!J30="","",MAX(Inputs!J30,0)/(1-Fin_Analysis!$I$84))</f>
        <v>0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9.70494144797025E-2</v>
      </c>
      <c r="D13" s="230">
        <f t="shared" si="3"/>
        <v>0.11028905713867453</v>
      </c>
      <c r="E13" s="230">
        <f t="shared" si="3"/>
        <v>0.11850378622408973</v>
      </c>
      <c r="F13" s="230">
        <f t="shared" si="3"/>
        <v>9.0944634480034661E-2</v>
      </c>
      <c r="G13" s="230">
        <f t="shared" si="3"/>
        <v>6.6130456164302631E-2</v>
      </c>
      <c r="H13" s="230">
        <f t="shared" si="3"/>
        <v>5.2290676452824245E-2</v>
      </c>
      <c r="I13" s="230">
        <f t="shared" si="3"/>
        <v>4.3236969912424976E-2</v>
      </c>
      <c r="J13" s="230">
        <f t="shared" si="3"/>
        <v>2.0535945861225634E-3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353139.33333333331</v>
      </c>
      <c r="D14" s="231">
        <f t="shared" ref="D14:M14" si="4">IF(D6="","",D9-D10-MAX(D11,0)-MAX(D12,0))</f>
        <v>408585.33333333331</v>
      </c>
      <c r="E14" s="231">
        <f t="shared" si="4"/>
        <v>431327</v>
      </c>
      <c r="F14" s="231">
        <f t="shared" si="4"/>
        <v>318672</v>
      </c>
      <c r="G14" s="231">
        <f t="shared" si="4"/>
        <v>155584</v>
      </c>
      <c r="H14" s="231">
        <f t="shared" si="4"/>
        <v>127442</v>
      </c>
      <c r="I14" s="231">
        <f t="shared" si="4"/>
        <v>125028</v>
      </c>
      <c r="J14" s="231">
        <f t="shared" si="4"/>
        <v>6453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-0.13570237469773758</v>
      </c>
      <c r="D15" s="233">
        <f t="shared" ref="D15:M15" si="5">IF(E14="","",IF(ABS(D14+E14)=ABS(D14)+ABS(E14),IF(D14&lt;0,-1,1)*(D14-E14)/E14,"Turn"))</f>
        <v>-5.272488545040465E-2</v>
      </c>
      <c r="E15" s="233">
        <f t="shared" si="5"/>
        <v>0.35351395792539037</v>
      </c>
      <c r="F15" s="233">
        <f t="shared" si="5"/>
        <v>1.0482311805841218</v>
      </c>
      <c r="G15" s="233">
        <f t="shared" si="5"/>
        <v>0.22082202099778722</v>
      </c>
      <c r="H15" s="233">
        <f t="shared" si="5"/>
        <v>1.9307675080781905E-2</v>
      </c>
      <c r="I15" s="233">
        <f t="shared" si="5"/>
        <v>18.375174337517432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13663</v>
      </c>
      <c r="D17" s="200">
        <f>IF(Inputs!D29="","",Inputs!D29)</f>
        <v>14612</v>
      </c>
      <c r="E17" s="200">
        <f>IF(Inputs!E29="","",Inputs!E29)</f>
        <v>12033</v>
      </c>
      <c r="F17" s="200">
        <f>IF(Inputs!F29="","",Inputs!F29)</f>
        <v>10203</v>
      </c>
      <c r="G17" s="200">
        <f>IF(Inputs!G29="","",Inputs!G29)</f>
        <v>14210</v>
      </c>
      <c r="H17" s="200">
        <f>IF(Inputs!H29="","",Inputs!H29)</f>
        <v>1959</v>
      </c>
      <c r="I17" s="200">
        <f>IF(Inputs!I29="","",Inputs!I29)</f>
        <v>1843</v>
      </c>
      <c r="J17" s="200">
        <f>IF(Inputs!J29="","",Inputs!J29)</f>
        <v>3730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339476.33333333331</v>
      </c>
      <c r="D22" s="162">
        <f t="shared" ref="D22:M22" si="8">IF(D6="","",D14-MAX(D16,0)-MAX(D17,0)-ABS(MAX(D21,0)-MAX(D19,0)))</f>
        <v>393973.33333333331</v>
      </c>
      <c r="E22" s="162">
        <f t="shared" si="8"/>
        <v>419294</v>
      </c>
      <c r="F22" s="162">
        <f t="shared" si="8"/>
        <v>308469</v>
      </c>
      <c r="G22" s="162">
        <f t="shared" si="8"/>
        <v>141374</v>
      </c>
      <c r="H22" s="162">
        <f t="shared" si="8"/>
        <v>125483</v>
      </c>
      <c r="I22" s="162">
        <f t="shared" si="8"/>
        <v>123185</v>
      </c>
      <c r="J22" s="162">
        <f t="shared" si="8"/>
        <v>2723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6.9970921396806274E-2</v>
      </c>
      <c r="D23" s="154">
        <f t="shared" si="9"/>
        <v>7.9758640226934768E-2</v>
      </c>
      <c r="E23" s="154">
        <f t="shared" si="9"/>
        <v>8.6398358799200173E-2</v>
      </c>
      <c r="F23" s="154">
        <f t="shared" si="9"/>
        <v>6.6024628270027988E-2</v>
      </c>
      <c r="G23" s="154">
        <f t="shared" si="9"/>
        <v>4.5067907576158792E-2</v>
      </c>
      <c r="H23" s="154">
        <f t="shared" si="9"/>
        <v>3.8615159955095714E-2</v>
      </c>
      <c r="I23" s="154">
        <f t="shared" si="9"/>
        <v>3.1949720094671216E-2</v>
      </c>
      <c r="J23" s="154">
        <f t="shared" si="9"/>
        <v>6.4992306578472105E-4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-0.13832662109110599</v>
      </c>
      <c r="D25" s="234">
        <f t="shared" ref="D25:M25" si="10">IF(E24="","",IF(ABS(D24+E24)=ABS(D24)+ABS(E24),IF(D24&lt;0,-1,1)*(D24-E24)/E24,"Turn"))</f>
        <v>-6.0388812305128783E-2</v>
      </c>
      <c r="E25" s="234">
        <f t="shared" si="10"/>
        <v>0.35927435171767663</v>
      </c>
      <c r="F25" s="234">
        <f t="shared" si="10"/>
        <v>1.1819358580785717</v>
      </c>
      <c r="G25" s="234">
        <f t="shared" si="10"/>
        <v>0.12663866818612879</v>
      </c>
      <c r="H25" s="234">
        <f t="shared" si="10"/>
        <v>1.8654868693428583E-2</v>
      </c>
      <c r="I25" s="234">
        <f t="shared" si="10"/>
        <v>44.238707308116048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0.68375747988736812</v>
      </c>
      <c r="D42" s="157">
        <f t="shared" si="34"/>
        <v>0.67913262073859615</v>
      </c>
      <c r="E42" s="157">
        <f t="shared" si="34"/>
        <v>0.67572574560948018</v>
      </c>
      <c r="F42" s="157">
        <f t="shared" si="34"/>
        <v>0.72542523991002339</v>
      </c>
      <c r="G42" s="157">
        <f t="shared" si="34"/>
        <v>0.72570592808295886</v>
      </c>
      <c r="H42" s="157">
        <f t="shared" si="34"/>
        <v>0.75259972164596523</v>
      </c>
      <c r="I42" s="157">
        <f t="shared" si="34"/>
        <v>0.79013152161433509</v>
      </c>
      <c r="J42" s="157">
        <f t="shared" si="34"/>
        <v>0.83824975058038786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0.21895053202218998</v>
      </c>
      <c r="D43" s="154">
        <f t="shared" si="35"/>
        <v>0.21054521082404754</v>
      </c>
      <c r="E43" s="154">
        <f t="shared" si="35"/>
        <v>0.20562320627599406</v>
      </c>
      <c r="F43" s="154">
        <f t="shared" si="35"/>
        <v>0.18363012560994194</v>
      </c>
      <c r="G43" s="154">
        <f t="shared" si="35"/>
        <v>0.20816361575273848</v>
      </c>
      <c r="H43" s="154">
        <f t="shared" si="35"/>
        <v>0.19510960190121057</v>
      </c>
      <c r="I43" s="154">
        <f t="shared" si="35"/>
        <v>0.16663150847323988</v>
      </c>
      <c r="J43" s="154">
        <f t="shared" si="35"/>
        <v>0.15969665483348955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3.7548526172941428E-3</v>
      </c>
      <c r="D45" s="154">
        <f t="shared" si="37"/>
        <v>3.9442035027615089E-3</v>
      </c>
      <c r="E45" s="154">
        <f t="shared" si="37"/>
        <v>3.3059744918228439E-3</v>
      </c>
      <c r="F45" s="154">
        <f t="shared" si="37"/>
        <v>2.9117967866640108E-3</v>
      </c>
      <c r="G45" s="154">
        <f t="shared" si="37"/>
        <v>6.039912729424236E-3</v>
      </c>
      <c r="H45" s="154">
        <f t="shared" si="37"/>
        <v>8.0379651269662036E-4</v>
      </c>
      <c r="I45" s="154">
        <f t="shared" si="37"/>
        <v>6.3734311953001909E-4</v>
      </c>
      <c r="J45" s="154">
        <f t="shared" si="37"/>
        <v>1.1870304984096019E-3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2.4257361073934199E-4</v>
      </c>
      <c r="D46" s="154">
        <f t="shared" ref="D46:M46" si="38">IF(D6="","",MAX(D12,0)/D6)</f>
        <v>3.3111298681819405E-5</v>
      </c>
      <c r="E46" s="154">
        <f t="shared" si="38"/>
        <v>1.4726189043605455E-4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>
        <f t="shared" si="38"/>
        <v>0</v>
      </c>
      <c r="J46" s="154">
        <f t="shared" si="38"/>
        <v>0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9.3294561862408365E-2</v>
      </c>
      <c r="D48" s="154">
        <f t="shared" si="40"/>
        <v>0.10634485363591302</v>
      </c>
      <c r="E48" s="154">
        <f t="shared" si="40"/>
        <v>0.1151978117322669</v>
      </c>
      <c r="F48" s="154">
        <f t="shared" si="40"/>
        <v>8.8032837693370641E-2</v>
      </c>
      <c r="G48" s="154">
        <f t="shared" si="40"/>
        <v>6.0090543434878393E-2</v>
      </c>
      <c r="H48" s="154">
        <f t="shared" si="40"/>
        <v>5.1486879940127621E-2</v>
      </c>
      <c r="I48" s="154">
        <f t="shared" si="40"/>
        <v>4.2599626792894953E-2</v>
      </c>
      <c r="J48" s="154">
        <f t="shared" si="40"/>
        <v>8.6656408771296136E-4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4.0247282824821366E-2</v>
      </c>
      <c r="D55" s="154">
        <f t="shared" si="45"/>
        <v>3.7088804656829566E-2</v>
      </c>
      <c r="E55" s="154">
        <f t="shared" si="45"/>
        <v>2.8698240375488321E-2</v>
      </c>
      <c r="F55" s="154">
        <f t="shared" si="45"/>
        <v>3.307625725761746E-2</v>
      </c>
      <c r="G55" s="154">
        <f t="shared" si="45"/>
        <v>0.10051353148386549</v>
      </c>
      <c r="H55" s="154">
        <f t="shared" si="45"/>
        <v>1.5611676482073268E-2</v>
      </c>
      <c r="I55" s="154">
        <f t="shared" si="45"/>
        <v>1.49612371636157E-2</v>
      </c>
      <c r="J55" s="154">
        <f t="shared" si="45"/>
        <v>1.3698127065736321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10"/>
      <c r="E74" s="239">
        <f>Inputs!E91</f>
        <v>2547130.5999999996</v>
      </c>
      <c r="F74" s="210"/>
      <c r="H74" s="239">
        <f>Inputs!F91</f>
        <v>2911006.4000000004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60">
        <f>C75/$C$74</f>
        <v>0.68375747988736812</v>
      </c>
      <c r="E75" s="239">
        <f>Inputs!E92</f>
        <v>1741619.5999999996</v>
      </c>
      <c r="F75" s="161">
        <f>E75/E74</f>
        <v>0.68375747988736812</v>
      </c>
      <c r="H75" s="239">
        <f>Inputs!F92</f>
        <v>1990422.4000000001</v>
      </c>
      <c r="I75" s="161">
        <f>H75/$H$74</f>
        <v>0.68375747988736812</v>
      </c>
      <c r="K75" s="24"/>
    </row>
    <row r="76" spans="1:11" ht="15" customHeight="1" x14ac:dyDescent="0.4">
      <c r="B76" s="35" t="s">
        <v>96</v>
      </c>
      <c r="C76" s="162">
        <f>C74-C75</f>
        <v>1150730</v>
      </c>
      <c r="D76" s="211"/>
      <c r="E76" s="163">
        <f>E74-E75</f>
        <v>805511</v>
      </c>
      <c r="F76" s="211"/>
      <c r="H76" s="163">
        <f>H74-H75</f>
        <v>920584.00000000023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60">
        <f>C77/$C$74</f>
        <v>0.21895053202218998</v>
      </c>
      <c r="E77" s="239">
        <f>Inputs!E93</f>
        <v>557695.59999999986</v>
      </c>
      <c r="F77" s="161">
        <f>E77/E74</f>
        <v>0.21895053202218998</v>
      </c>
      <c r="H77" s="239">
        <f>Inputs!F93</f>
        <v>637366.4</v>
      </c>
      <c r="I77" s="161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60">
        <f>C78/$C$74</f>
        <v>2.4257361073934199E-4</v>
      </c>
      <c r="E78" s="181">
        <f>E74*F78</f>
        <v>617.86666666666656</v>
      </c>
      <c r="F78" s="161">
        <f>I78</f>
        <v>2.4257361073934199E-4</v>
      </c>
      <c r="H78" s="239">
        <f>Inputs!F97</f>
        <v>706.13333333333333</v>
      </c>
      <c r="I78" s="161">
        <f>H78/$H$74</f>
        <v>2.4257361073934199E-4</v>
      </c>
      <c r="K78" s="24"/>
    </row>
    <row r="79" spans="1:11" ht="15" customHeight="1" x14ac:dyDescent="0.4">
      <c r="B79" s="257" t="s">
        <v>233</v>
      </c>
      <c r="C79" s="258">
        <f>C76-C77-C78</f>
        <v>353139.33333333331</v>
      </c>
      <c r="D79" s="259">
        <f>C79/C74</f>
        <v>9.70494144797025E-2</v>
      </c>
      <c r="E79" s="260">
        <f>E76-E77-E78</f>
        <v>247197.53333333347</v>
      </c>
      <c r="F79" s="259">
        <f>E79/E74</f>
        <v>9.704941447970257E-2</v>
      </c>
      <c r="G79" s="261"/>
      <c r="H79" s="260">
        <f>H76-H77-H78</f>
        <v>282511.46666666685</v>
      </c>
      <c r="I79" s="259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60">
        <f>C81/$C$74</f>
        <v>3.7548526172941428E-3</v>
      </c>
      <c r="E81" s="181">
        <f>E74*F81</f>
        <v>9564.0999999999985</v>
      </c>
      <c r="F81" s="161">
        <f>I81</f>
        <v>3.7548526172941428E-3</v>
      </c>
      <c r="H81" s="239">
        <f>Inputs!F94</f>
        <v>10930.400000000001</v>
      </c>
      <c r="I81" s="161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339476.33333333331</v>
      </c>
      <c r="D83" s="165">
        <f>C83/$C$74</f>
        <v>9.3294561862408365E-2</v>
      </c>
      <c r="E83" s="166">
        <f>E79-E81-E82-E80</f>
        <v>237633.43333333347</v>
      </c>
      <c r="F83" s="165">
        <f>E83/E74</f>
        <v>9.3294561862408434E-2</v>
      </c>
      <c r="H83" s="166">
        <f>H79-H81-H82-H80</f>
        <v>271581.06666666683</v>
      </c>
      <c r="I83" s="165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254607.25</v>
      </c>
      <c r="D85" s="259">
        <f>C85/$C$74</f>
        <v>6.9970921396806274E-2</v>
      </c>
      <c r="E85" s="265">
        <f>E83*(1-F84)</f>
        <v>178225.0750000001</v>
      </c>
      <c r="F85" s="259">
        <f>E85/E74</f>
        <v>6.9970921396806315E-2</v>
      </c>
      <c r="G85" s="261"/>
      <c r="H85" s="265">
        <f>H83*(1-I84)</f>
        <v>203685.8000000001</v>
      </c>
      <c r="I85" s="259">
        <f>H85/$H$74</f>
        <v>6.9970921396806302E-2</v>
      </c>
      <c r="K85" s="24"/>
    </row>
    <row r="86" spans="1:11" ht="15" customHeight="1" x14ac:dyDescent="0.4">
      <c r="B86" s="87" t="s">
        <v>161</v>
      </c>
      <c r="C86" s="168">
        <f>C85*Data!C4/Common_Shares</f>
        <v>0.52242321451007256</v>
      </c>
      <c r="D86" s="210"/>
      <c r="E86" s="169">
        <f>E85*Data!C4/Common_Shares</f>
        <v>0.36569625015705098</v>
      </c>
      <c r="F86" s="210"/>
      <c r="H86" s="169">
        <f>H85*Data!C4/Common_Shares</f>
        <v>0.41793857160805831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0.14005984303219104</v>
      </c>
      <c r="D87" s="210"/>
      <c r="E87" s="263">
        <f>E86*Exchange_Rate/Dashboard!G3</f>
        <v>9.8041890122533781E-2</v>
      </c>
      <c r="F87" s="210"/>
      <c r="H87" s="263">
        <f>H86*Exchange_Rate/Dashboard!G3</f>
        <v>0.1120478744257529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0.30399999999999999</v>
      </c>
      <c r="D88" s="167">
        <f>C88/C86</f>
        <v>0.58190369714923673</v>
      </c>
      <c r="E88" s="171">
        <f>Inputs!E98</f>
        <v>0.21887999999999999</v>
      </c>
      <c r="F88" s="167">
        <f>E88/E86</f>
        <v>0.59852951706778601</v>
      </c>
      <c r="H88" s="171">
        <f>Inputs!F98</f>
        <v>0.2432</v>
      </c>
      <c r="I88" s="167">
        <f>H88/H86</f>
        <v>0.5819036971492364</v>
      </c>
      <c r="K88" s="24"/>
    </row>
    <row r="89" spans="1:11" ht="15" customHeight="1" x14ac:dyDescent="0.4">
      <c r="B89" s="87" t="s">
        <v>222</v>
      </c>
      <c r="C89" s="262">
        <f>C88*Exchange_Rate/Dashboard!G3</f>
        <v>8.1501340482573723E-2</v>
      </c>
      <c r="D89" s="210"/>
      <c r="E89" s="262">
        <f>E88*Exchange_Rate/Dashboard!G3</f>
        <v>5.8680965147453079E-2</v>
      </c>
      <c r="F89" s="210"/>
      <c r="H89" s="262">
        <f>H88*Exchange_Rate/Dashboard!G3</f>
        <v>6.5201072386058975E-2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210</v>
      </c>
      <c r="F93" s="144">
        <f>FV(E87,D93,0,-(E86/C93))*Exchange_Rate</f>
        <v>9.050140800883705</v>
      </c>
      <c r="H93" s="87" t="s">
        <v>210</v>
      </c>
      <c r="I93" s="144">
        <f>FV(H87,D93,0,-(H86/C93))*Exchange_Rate</f>
        <v>11.019709886201465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4.5130681175865561</v>
      </c>
      <c r="H94" s="87" t="s">
        <v>211</v>
      </c>
      <c r="I94" s="144">
        <f>FV(H89,D93,0,-(H88/C93))*Exchange_Rate</f>
        <v>5.1708487059560175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2670110.6459413436</v>
      </c>
      <c r="D97" s="214"/>
      <c r="E97" s="123">
        <f>PV(C94,D93,0,-F93)</f>
        <v>4.4995194573732107</v>
      </c>
      <c r="F97" s="214"/>
      <c r="H97" s="123">
        <f>PV(C94,D93,0,-I93)</f>
        <v>5.4787433851559335</v>
      </c>
      <c r="I97" s="123">
        <f>PV(C93,D93,0,-I93)</f>
        <v>8.0619821492220058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2670110.6459413436</v>
      </c>
      <c r="D100" s="109">
        <f>MIN(F100*(1-C94),E100)</f>
        <v>4.2407617080748858</v>
      </c>
      <c r="E100" s="109">
        <f>MAX(E97-H98+E99,0)</f>
        <v>4.4995194573732107</v>
      </c>
      <c r="F100" s="109">
        <f>(E100+H100)/2</f>
        <v>4.9891314212645721</v>
      </c>
      <c r="H100" s="109">
        <f>MAX(C100*Data!$C$4/Common_Shares,0)</f>
        <v>5.4787433851559335</v>
      </c>
      <c r="I100" s="109">
        <f>MAX(I97-H98+H99,0)</f>
        <v>8.0619821492220058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1252913.0368135688</v>
      </c>
      <c r="D103" s="109">
        <f>MIN(F103*(1-C94),E103)</f>
        <v>2.0462127142723596</v>
      </c>
      <c r="E103" s="123">
        <f>PV(C94,D93,0,-F94)</f>
        <v>2.2437924728804828</v>
      </c>
      <c r="F103" s="109">
        <f>(E103+H103)/2</f>
        <v>2.407309075614541</v>
      </c>
      <c r="H103" s="123">
        <f>PV(C94,D93,0,-I94)</f>
        <v>2.5708256783485997</v>
      </c>
      <c r="I103" s="109">
        <f>PV(C93,D93,0,-I94)</f>
        <v>3.7829752683366591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1643204.263103226</v>
      </c>
      <c r="D106" s="109">
        <f>(D100+D103)/2</f>
        <v>3.143487211173623</v>
      </c>
      <c r="E106" s="123">
        <f>(E100+E103)/2</f>
        <v>3.3716559651268465</v>
      </c>
      <c r="F106" s="109">
        <f>(F100+F103)/2</f>
        <v>3.6982202484395565</v>
      </c>
      <c r="H106" s="123">
        <f>(H100+H103)/2</f>
        <v>4.0247845317522666</v>
      </c>
      <c r="I106" s="123">
        <f>(I100+I103)/2</f>
        <v>5.922478708779332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