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1128969-C92A-4EB4-86BD-6DA8D7A516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F94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<sst xmlns="http://schemas.openxmlformats.org/spreadsheetml/2006/main" count="390" uniqueCount="269">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</sst>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1233841000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11868490425.190001</v>
      </c>
      <c r="D25" s="150">
        <v>10930302487.299999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7386835892.0799999</v>
      </c>
      <c r="D26" s="151">
        <v>6956163862.6700001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3020689977.3999996</v>
      </c>
      <c r="D27" s="151">
        <v>2613446855.2799997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19979888.16</v>
      </c>
      <c r="D28" s="151">
        <v>14166706.34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17875456.73</v>
      </c>
      <c r="D29" s="151">
        <v>20978186.489999998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49204300.670000002</v>
      </c>
      <c r="D30" s="151">
        <v>-5437935.0599999996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0.4+0.19</f>
        <v>0.59000000000000008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6.404018144697636E-2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10"/>
      <c r="E91" s="252">
        <f>C91</f>
        <v>11868490425.190001</v>
      </c>
      <c r="F91" s="252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60">
        <f>C92/C91</f>
        <v>0.6223905170283478</v>
      </c>
      <c r="E92" s="253">
        <f>E91*D92</f>
        <v>7386835892.0799999</v>
      </c>
      <c r="F92" s="253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60">
        <f>C93/C91</f>
        <v>0.25619685036829964</v>
      </c>
      <c r="E93" s="253">
        <f>E91*D93</f>
        <v>3040669865.5599995</v>
      </c>
      <c r="F93" s="253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60">
        <f>C94/C91</f>
        <v>1.5061272402478966E-3</v>
      </c>
      <c r="E94" s="254"/>
      <c r="F94" s="253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60">
        <f>C97/C91</f>
        <v>5.5277235668845723E-3</v>
      </c>
      <c r="E97" s="254"/>
      <c r="F97" s="253">
        <f>F91*D97</f>
        <v>65605734.226666667</v>
      </c>
    </row>
    <row r="98" spans="2:7" ht="13.9" x14ac:dyDescent="0.4">
      <c r="B98" s="86" t="s">
        <v>207</v>
      </c>
      <c r="C98" s="238">
        <f>C44</f>
        <v>0.59000000000000008</v>
      </c>
      <c r="D98" s="267"/>
      <c r="E98" s="255">
        <f>F98</f>
        <v>0.59000000000000008</v>
      </c>
      <c r="F98" s="255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0811.HK</v>
      </c>
      <c r="D3" s="277"/>
      <c r="E3" s="87"/>
      <c r="F3" s="3" t="s">
        <v>1</v>
      </c>
      <c r="G3" s="132">
        <v>9.8800000000000008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新华文轩</v>
      </c>
      <c r="D4" s="279"/>
      <c r="E4" s="87"/>
      <c r="F4" s="3" t="s">
        <v>2</v>
      </c>
      <c r="G4" s="282">
        <f>Inputs!C10</f>
        <v>1233841000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45604</v>
      </c>
      <c r="D5" s="281"/>
      <c r="E5" s="34"/>
      <c r="F5" s="35" t="s">
        <v>99</v>
      </c>
      <c r="G5" s="274">
        <f>G3*G4/1000000</f>
        <v>12190.349080000002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0.6223905170283478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1.5061272402478966E-3</v>
      </c>
      <c r="F24" s="140" t="s">
        <v>258</v>
      </c>
      <c r="G24" s="269">
        <f>G3/(Fin_Analysis!H86*G7)</f>
        <v>11.164941234946083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0.71500486253077544</v>
      </c>
    </row>
    <row r="26" spans="1:8" ht="15.75" customHeight="1" x14ac:dyDescent="0.4">
      <c r="B26" s="138" t="s">
        <v>173</v>
      </c>
      <c r="C26" s="172">
        <f>Fin_Analysis!I83</f>
        <v>0.11437878179622009</v>
      </c>
      <c r="F26" s="141" t="s">
        <v>193</v>
      </c>
      <c r="G26" s="179">
        <f>Fin_Analysis!H88*Exchange_Rate/G3</f>
        <v>6.404018144697636E-2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5.2854293790361204</v>
      </c>
      <c r="D29" s="129">
        <f>G29*(1+G20)</f>
        <v>10.302909019183284</v>
      </c>
      <c r="E29" s="87"/>
      <c r="F29" s="131">
        <f>IF(Fin_Analysis!C108="Profit",Fin_Analysis!F100,IF(Fin_Analysis!C108="Dividend",Fin_Analysis!F103,Fin_Analysis!F106))</f>
        <v>6.2181522106307305</v>
      </c>
      <c r="G29" s="273">
        <f>IF(Fin_Analysis!C108="Profit",Fin_Analysis!I100,IF(Fin_Analysis!C108="Dividend",Fin_Analysis!I103,Fin_Analysis!I106))</f>
        <v>8.9590513210289426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11868490425.190001</v>
      </c>
      <c r="D6" s="201">
        <f>IF(Inputs!D25="","",Inputs!D25)</f>
        <v>10930302487.299999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7386835892.0799999</v>
      </c>
      <c r="D8" s="200">
        <f>IF(Inputs!D26="","",Inputs!D26)</f>
        <v>6956163862.6700001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4481654533.1100006</v>
      </c>
      <c r="D9" s="152">
        <f t="shared" si="2"/>
        <v>3974138624.6299992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3020689977.3999996</v>
      </c>
      <c r="D10" s="200">
        <f>IF(Inputs!D27="","",Inputs!D27)</f>
        <v>2613446855.2799997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19979888.16</v>
      </c>
      <c r="D11" s="200">
        <f>IF(Inputs!D28="","",Inputs!D28)</f>
        <v>14166706.34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65605734.226666667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0.11588490903646796</v>
      </c>
      <c r="D13" s="230">
        <f t="shared" si="3"/>
        <v>0.12319193037654147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1375378933.3233342</v>
      </c>
      <c r="D14" s="231">
        <f t="shared" ref="D14:M14" si="4">IF(D6="","",D9-D10-MAX(D11,0)-MAX(D12,0))</f>
        <v>1346525063.0099995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2.1428394543830654E-2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17875456.73</v>
      </c>
      <c r="D17" s="200">
        <f>IF(Inputs!D29="","",Inputs!D29)</f>
        <v>20978186.489999998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1357503476.5933342</v>
      </c>
      <c r="D22" s="162">
        <f t="shared" ref="D22:M22" si="8">IF(D6="","",D14-MAX(D16,0)-MAX(D17,0)-ABS(MAX(D21,0)-MAX(D19,0)))</f>
        <v>1325546876.5199995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8.5784086347165056E-2</v>
      </c>
      <c r="D23" s="154">
        <f t="shared" si="9"/>
        <v>9.0954496322962861E-2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2.4108238372701971E-2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0.6223905170283478</v>
      </c>
      <c r="D42" s="157">
        <f t="shared" si="34"/>
        <v>0.63641092007768485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0.25619685036829964</v>
      </c>
      <c r="D43" s="154">
        <f t="shared" si="35"/>
        <v>0.24039714954577368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1.5061272402478966E-3</v>
      </c>
      <c r="D45" s="154">
        <f t="shared" si="37"/>
        <v>1.9192686125909793E-3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5.5277235668845723E-3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0.11437878179622006</v>
      </c>
      <c r="D48" s="154">
        <f t="shared" si="40"/>
        <v>0.12127266176395049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1.316789020302077E-2</v>
      </c>
      <c r="D55" s="154">
        <f t="shared" si="45"/>
        <v>1.5826061576241422E-2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10"/>
      <c r="E74" s="239">
        <f>Inputs!E91</f>
        <v>11868490425.190001</v>
      </c>
      <c r="F74" s="210"/>
      <c r="H74" s="239">
        <f>Inputs!F91</f>
        <v>11868490425.190001</v>
      </c>
      <c r="I74" s="210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60">
        <f>C75/$C$74</f>
        <v>0.6223905170283478</v>
      </c>
      <c r="E75" s="239">
        <f>Inputs!E92</f>
        <v>7386835892.0799999</v>
      </c>
      <c r="F75" s="161">
        <f>E75/E74</f>
        <v>0.6223905170283478</v>
      </c>
      <c r="H75" s="239">
        <f>Inputs!F92</f>
        <v>7386835892.0799999</v>
      </c>
      <c r="I75" s="161">
        <f>H75/$H$74</f>
        <v>0.6223905170283478</v>
      </c>
      <c r="K75" s="24"/>
    </row>
    <row r="76" spans="1:11" ht="15" customHeight="1" x14ac:dyDescent="0.4">
      <c r="B76" s="35" t="s">
        <v>95</v>
      </c>
      <c r="C76" s="162">
        <f>C74-C75</f>
        <v>4481654533.1100006</v>
      </c>
      <c r="D76" s="211"/>
      <c r="E76" s="163">
        <f>E74-E75</f>
        <v>4481654533.1100006</v>
      </c>
      <c r="F76" s="211"/>
      <c r="H76" s="163">
        <f>H74-H75</f>
        <v>4481654533.1100006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60">
        <f>C77/$C$74</f>
        <v>0.25619685036829964</v>
      </c>
      <c r="E77" s="239">
        <f>Inputs!E93</f>
        <v>3040669865.5599995</v>
      </c>
      <c r="F77" s="161">
        <f>E77/E74</f>
        <v>0.25619685036829964</v>
      </c>
      <c r="H77" s="239">
        <f>Inputs!F93</f>
        <v>3040669865.5599995</v>
      </c>
      <c r="I77" s="161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60">
        <f>C78/$C$74</f>
        <v>5.5277235668845723E-3</v>
      </c>
      <c r="E78" s="181">
        <f>E74*F78</f>
        <v>65605734.226666667</v>
      </c>
      <c r="F78" s="161">
        <f>I78</f>
        <v>5.5277235668845723E-3</v>
      </c>
      <c r="H78" s="239">
        <f>Inputs!F97</f>
        <v>65605734.226666667</v>
      </c>
      <c r="I78" s="161">
        <f>H78/$H$74</f>
        <v>5.5277235668845723E-3</v>
      </c>
      <c r="K78" s="24"/>
    </row>
    <row r="79" spans="1:11" ht="15" customHeight="1" x14ac:dyDescent="0.4">
      <c r="B79" s="257" t="s">
        <v>232</v>
      </c>
      <c r="C79" s="258">
        <f>C76-C77-C78</f>
        <v>1375378933.3233345</v>
      </c>
      <c r="D79" s="259">
        <f>C79/C74</f>
        <v>0.11588490903646799</v>
      </c>
      <c r="E79" s="260">
        <f>E76-E77-E78</f>
        <v>1375378933.3233345</v>
      </c>
      <c r="F79" s="259">
        <f>E79/E74</f>
        <v>0.11588490903646799</v>
      </c>
      <c r="G79" s="261"/>
      <c r="H79" s="260">
        <f>H76-H77-H78</f>
        <v>1375378933.3233345</v>
      </c>
      <c r="I79" s="259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60">
        <f>C81/$C$74</f>
        <v>1.5061272402478966E-3</v>
      </c>
      <c r="E81" s="181">
        <f>E74*F81</f>
        <v>17875456.73</v>
      </c>
      <c r="F81" s="161">
        <f>I81</f>
        <v>1.5061272402478966E-3</v>
      </c>
      <c r="H81" s="239">
        <f>Inputs!F94</f>
        <v>17875456.73</v>
      </c>
      <c r="I81" s="161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1357503476.5933344</v>
      </c>
      <c r="D83" s="165">
        <f>C83/$C$74</f>
        <v>0.11437878179622009</v>
      </c>
      <c r="E83" s="166">
        <f>E79-E81-E82-E80</f>
        <v>1357503476.5933344</v>
      </c>
      <c r="F83" s="165">
        <f>E83/E74</f>
        <v>0.11437878179622009</v>
      </c>
      <c r="H83" s="166">
        <f>H79-H81-H82-H80</f>
        <v>1357503476.5933344</v>
      </c>
      <c r="I83" s="165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1018127607.4450009</v>
      </c>
      <c r="D85" s="259">
        <f>C85/$C$74</f>
        <v>8.578408634716507E-2</v>
      </c>
      <c r="E85" s="265">
        <f>E83*(1-F84)</f>
        <v>1018127607.4450009</v>
      </c>
      <c r="F85" s="259">
        <f>E85/E74</f>
        <v>8.578408634716507E-2</v>
      </c>
      <c r="G85" s="261"/>
      <c r="H85" s="265">
        <f>H83*(1-I84)</f>
        <v>1018127607.4450009</v>
      </c>
      <c r="I85" s="259">
        <f>H85/$H$74</f>
        <v>8.578408634716507E-2</v>
      </c>
      <c r="K85" s="24"/>
    </row>
    <row r="86" spans="1:11" ht="15" customHeight="1" x14ac:dyDescent="0.4">
      <c r="B86" s="87" t="s">
        <v>160</v>
      </c>
      <c r="C86" s="168">
        <f>C85*Data!C4/Common_Shares</f>
        <v>0.82516921341161531</v>
      </c>
      <c r="D86" s="210"/>
      <c r="E86" s="169">
        <f>E85*Data!C4/Common_Shares</f>
        <v>0.82516921341161531</v>
      </c>
      <c r="F86" s="210"/>
      <c r="H86" s="169">
        <f>H85*Data!C4/Common_Shares</f>
        <v>0.82516921341161531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8.9566078222607787E-2</v>
      </c>
      <c r="D87" s="210"/>
      <c r="E87" s="263">
        <f>E86*Exchange_Rate/Dashboard!G3</f>
        <v>8.9566078222607787E-2</v>
      </c>
      <c r="F87" s="210"/>
      <c r="H87" s="263">
        <f>H86*Exchange_Rate/Dashboard!G3</f>
        <v>8.9566078222607787E-2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0.59000000000000008</v>
      </c>
      <c r="D88" s="167">
        <f>C88/C86</f>
        <v>0.71500486253077544</v>
      </c>
      <c r="E88" s="171">
        <f>Inputs!E98</f>
        <v>0.59000000000000008</v>
      </c>
      <c r="F88" s="167">
        <f>E88/E86</f>
        <v>0.71500486253077544</v>
      </c>
      <c r="H88" s="171">
        <f>Inputs!F98</f>
        <v>0.59000000000000008</v>
      </c>
      <c r="I88" s="167">
        <f>H88/H86</f>
        <v>0.71500486253077544</v>
      </c>
      <c r="K88" s="24"/>
    </row>
    <row r="89" spans="1:11" ht="15" customHeight="1" x14ac:dyDescent="0.4">
      <c r="B89" s="87" t="s">
        <v>221</v>
      </c>
      <c r="C89" s="262">
        <f>C88*Exchange_Rate/Dashboard!G3</f>
        <v>6.404018144697636E-2</v>
      </c>
      <c r="D89" s="210"/>
      <c r="E89" s="262">
        <f>E88*Exchange_Rate/Dashboard!G3</f>
        <v>6.404018144697636E-2</v>
      </c>
      <c r="F89" s="210"/>
      <c r="H89" s="262">
        <f>H88*Exchange_Rate/Dashboard!G3</f>
        <v>6.404018144697636E-2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19.693335563298263</v>
      </c>
      <c r="H93" s="87" t="s">
        <v>209</v>
      </c>
      <c r="I93" s="144">
        <f>FV(H87,D93,0,-(H86/C93))*Exchange_Rate</f>
        <v>19.693335563298263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12.50692514182113</v>
      </c>
      <c r="H94" s="87" t="s">
        <v>210</v>
      </c>
      <c r="I94" s="144">
        <f>FV(H89,D93,0,-(H88/C93))*Exchange_Rate</f>
        <v>12.50692514182113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12080621480.741096</v>
      </c>
      <c r="D97" s="214"/>
      <c r="E97" s="123">
        <f>PV(C94,D93,0,-F93)</f>
        <v>9.7910682824943382</v>
      </c>
      <c r="F97" s="214"/>
      <c r="H97" s="123">
        <f>PV(C94,D93,0,-I93)</f>
        <v>9.7910682824943382</v>
      </c>
      <c r="I97" s="123">
        <f>PV(C93,D93,0,-I93)</f>
        <v>14.106872951839152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12080621480.741096</v>
      </c>
      <c r="D100" s="109">
        <f>MIN(F100*(1-C94),E100)</f>
        <v>8.3224080401201874</v>
      </c>
      <c r="E100" s="109">
        <f>MAX(E97-H98+E99,0)</f>
        <v>9.7910682824943382</v>
      </c>
      <c r="F100" s="109">
        <f>(E100+H100)/2</f>
        <v>9.7910682824943382</v>
      </c>
      <c r="H100" s="109">
        <f>MAX(C100*Data!$C$4/Common_Shares,0)</f>
        <v>9.7910682824943382</v>
      </c>
      <c r="I100" s="109">
        <f>MAX(I97-H98+H99,0)</f>
        <v>14.106872951839152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7672211141.7168312</v>
      </c>
      <c r="D103" s="109">
        <f>MIN(F103*(1-C94),E103)</f>
        <v>5.2854293790361204</v>
      </c>
      <c r="E103" s="123">
        <f>PV(C94,D93,0,-F94)</f>
        <v>6.2181522106307305</v>
      </c>
      <c r="F103" s="109">
        <f>(E103+H103)/2</f>
        <v>6.2181522106307305</v>
      </c>
      <c r="H103" s="123">
        <f>PV(C94,D93,0,-I94)</f>
        <v>6.2181522106307305</v>
      </c>
      <c r="I103" s="109">
        <f>PV(C93,D93,0,-I94)</f>
        <v>8.9590513210289426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9876416311.2289658</v>
      </c>
      <c r="D106" s="109">
        <f>(D100+D103)/2</f>
        <v>6.8039187095781539</v>
      </c>
      <c r="E106" s="123">
        <f>(E100+E103)/2</f>
        <v>8.0046102465625353</v>
      </c>
      <c r="F106" s="109">
        <f>(F100+F103)/2</f>
        <v>8.0046102465625353</v>
      </c>
      <c r="H106" s="123">
        <f>(H100+H103)/2</f>
        <v>8.0046102465625353</v>
      </c>
      <c r="I106" s="123">
        <f>(I100+I103)/2</f>
        <v>11.532962136434048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