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FB576F7-6544-4C7B-873D-13C33A816EE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E93" i="4"/>
  <c r="F91" i="4"/>
  <c r="F92" i="4" s="1"/>
  <c r="E91" i="4"/>
  <c r="E95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D45" i="4" s="1"/>
  <c r="C44" i="4"/>
  <c r="C45" i="4" s="1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3" i="4" l="1"/>
  <c r="F95" i="4"/>
  <c r="E92" i="4"/>
  <c r="F97" i="4"/>
  <c r="F96" i="4"/>
  <c r="D53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<sst xmlns="http://schemas.openxmlformats.org/spreadsheetml/2006/main" count="390" uniqueCount="268">
  <si>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</si>
  <si>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</si>
  <si>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</si>
  <si>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</si>
  <si>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</si>
  <si>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</si>
  <si>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</si>
  <si>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</si>
  <si>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</si>
  <si>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</si>
  <si>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</si>
  <si>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</si>
  <si>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</si>
  <si>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</si>
  <si>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</si>
  <si>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</si>
  <si>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</si>
  <si>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</si>
  <si>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</si>
  <si>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</si>
  <si>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</si>
  <si>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</si>
  <si>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</si>
  <si>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</si>
  <si>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</si>
  <si>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</si>
  <si>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</si>
  <si>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</si>
  <si>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</si>
  <si>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</si>
  <si>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</si>
  <si>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</si>
  <si>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</si>
  <si>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</si>
  <si>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</si>
  <si>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</si>
  <si>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</si>
  <si>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</si>
  <si>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</si>
  <si>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</si>
  <si>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</si>
  <si>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</si>
  <si>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</si>
  <si>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</si>
  <si>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</si>
  <si>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</si>
  <si>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</si>
  <si>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</si>
  <si>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</si>
  <si>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</si>
  <si>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</si>
  <si>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</si>
  <si>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</si>
  <si>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</si>
  <si>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</si>
  <si>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</si>
  <si>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</si>
  <si>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</si>
  <si>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</si>
  <si>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</si>
  <si>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</si>
  <si>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</si>
  <si>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</si>
  <si>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</si>
  <si>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</si>
  <si>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</si>
  <si>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</si>
  <si>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</si>
  <si>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</si>
  <si>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</si>
  <si>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</si>
  <si>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</si>
  <si>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</si>
  <si>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</si>
  <si>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</si>
  <si>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</si>
  <si>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</si>
  <si>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</si>
  <si>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</si>
  <si>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</si>
  <si>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</si>
  <si>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</si>
  <si>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</si>
  <si>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</si>
  <si>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</si>
  <si>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</si>
  <si>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</si>
  <si>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</si>
  <si>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</si>
  <si>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</si>
  <si>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</si>
  <si>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</si>
  <si>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</si>
  <si>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</si>
  <si>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</si>
  <si>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</si>
  <si>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</si>
  <si>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</si>
  <si>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</si>
  <si>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</si>
  <si>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</si>
  <si>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</si>
  <si>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</si>
  <si>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</si>
  <si>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</si>
  <si>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</si>
  <si>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</si>
  <si>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</si>
  <si>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</si>
  <si>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</si>
  <si>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</si>
  <si>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</si>
  <si>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</si>
  <si>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</si>
  <si>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</si>
  <si>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</si>
  <si>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</si>
  <si>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</si>
  <si>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</si>
  <si>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</si>
  <si>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</si>
  <si>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</si>
  <si>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</si>
  <si>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</si>
  <si>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</si>
  <si>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</si>
  <si>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</si>
  <si>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</si>
  <si>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</si>
  <si>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</si>
  <si>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</si>
  <si>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</si>
  <si>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</si>
  <si>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</si>
  <si>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</si>
  <si>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</si>
  <si>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</si>
  <si>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</si>
  <si>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</si>
  <si>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</si>
  <si>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</si>
  <si>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</si>
  <si>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</si>
  <si>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</si>
  <si>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</si>
  <si>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</si>
  <si>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</si>
  <si>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</si>
  <si>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</si>
  <si>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</si>
  <si>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</si>
  <si>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</si>
  <si>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</si>
  <si>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</si>
  <si>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</si>
  <si>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</si>
  <si>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</si>
  <si>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</si>
  <si>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</si>
  <si>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</si>
  <si>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</si>
  <si>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</si>
  <si>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</si>
  <si>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</si>
  <si>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</si>
  <si>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</si>
  <si>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</si>
  <si>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</si>
  <si>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</si>
  <si>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</si>
  <si>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</si>
  <si>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</si>
  <si>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</si>
  <si>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</si>
  <si>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</si>
  <si>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</si>
  <si>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</si>
  <si>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</si>
  <si>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</si>
  <si>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</si>
  <si>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</si>
  <si>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</si>
  <si>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</si>
  <si>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</si>
  <si>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</si>
  <si>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</si>
  <si>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</si>
  <si>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</si>
  <si>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</si>
  <si>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</si>
  <si>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</si>
  <si>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</si>
  <si>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</si>
  <si>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</si>
  <si>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</si>
  <si>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</si>
  <si>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</si>
  <si>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</si>
  <si>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</si>
  <si>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</si>
  <si>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</si>
  <si>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</si>
  <si>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</si>
  <si>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</si>
  <si>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</si>
  <si>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</si>
  <si>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</si>
  <si>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</si>
  <si>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</si>
  <si>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</si>
  <si>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</si>
  <si>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</si>
  <si>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</si>
  <si>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</si>
  <si>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</si>
  <si>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</si>
  <si>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</si>
  <si>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</si>
  <si>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</si>
  <si>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</si>
  <si>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</si>
  <si>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</si>
  <si>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</si>
  <si>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</si>
  <si>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</si>
  <si>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</si>
  <si>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</si>
  <si>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</si>
  <si>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</si>
  <si>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</si>
  <si>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</si>
  <si>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</si>
  <si>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</si>
  <si>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</si>
  <si>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</si>
  <si>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</si>
  <si>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</si>
  <si>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</si>
  <si>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</si>
  <si>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</si>
  <si>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</si>
  <si>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</si>
  <si>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</si>
  <si>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</si>
  <si>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</si>
  <si>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</si>
  <si>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</si>
  <si>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</si>
  <si>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</si>
  <si>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</si>
  <si>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</si>
  <si>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</si>
  <si>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</si>
  <si>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</si>
  <si>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</si>
  <si>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</si>
  <si>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</si>
  <si>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</si>
  <si>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</si>
  <si>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</si>
  <si>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</si>
  <si>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1836.HK</t>
  </si>
  <si>
    <t>九興控股</t>
  </si>
  <si>
    <t>C0007</t>
  </si>
  <si>
    <t>USD</t>
  </si>
  <si>
    <t>CN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</si>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</sst>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821163500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1492651</v>
      </c>
      <c r="D25" s="150">
        <v>1630771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1125923</v>
      </c>
      <c r="D26" s="151">
        <v>1278644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44044+152022</f>
        <v>196066</v>
      </c>
      <c r="D27" s="151">
        <f>44743+157174</f>
        <v>201917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943</v>
      </c>
      <c r="D29" s="151">
        <v>944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817</v>
      </c>
      <c r="D30" s="151">
        <v>846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(0.61+0.42)/Exchange_Rate</f>
        <v>0.13234731251635526</v>
      </c>
      <c r="D44" s="251">
        <f>(0.45+0.42)/Exchange_Rate</f>
        <v>0.11178850668857192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7.1527777777777773E-2</v>
      </c>
      <c r="D45" s="153">
        <f>IF(D44="","",D44*Exchange_Rate/Dashboard!$G$3)</f>
        <v>6.0416666666666667E-2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1492651</v>
      </c>
      <c r="D91" s="210"/>
      <c r="E91" s="252">
        <f>C91</f>
        <v>1492651</v>
      </c>
      <c r="F91" s="252">
        <f>C91</f>
        <v>1492651</v>
      </c>
    </row>
    <row r="92" spans="2:8" ht="13.9" x14ac:dyDescent="0.4">
      <c r="B92" s="104" t="s">
        <v>105</v>
      </c>
      <c r="C92" s="77">
        <f>C26</f>
        <v>1125923</v>
      </c>
      <c r="D92" s="160">
        <f>C92/C91</f>
        <v>0.75431095413462357</v>
      </c>
      <c r="E92" s="253">
        <f>E91*D92</f>
        <v>1125923</v>
      </c>
      <c r="F92" s="253">
        <f>F91*D92</f>
        <v>1125923</v>
      </c>
    </row>
    <row r="93" spans="2:8" ht="13.9" x14ac:dyDescent="0.4">
      <c r="B93" s="104" t="s">
        <v>247</v>
      </c>
      <c r="C93" s="77">
        <f>C27+C28</f>
        <v>196066</v>
      </c>
      <c r="D93" s="160">
        <f>C93/C91</f>
        <v>0.13135421474946254</v>
      </c>
      <c r="E93" s="253">
        <f>E91*D93</f>
        <v>196066.00000000003</v>
      </c>
      <c r="F93" s="253">
        <f>F91*D93</f>
        <v>196066.00000000003</v>
      </c>
    </row>
    <row r="94" spans="2:8" ht="13.9" x14ac:dyDescent="0.4">
      <c r="B94" s="104" t="s">
        <v>257</v>
      </c>
      <c r="C94" s="77">
        <f>C29</f>
        <v>943</v>
      </c>
      <c r="D94" s="160">
        <f>C94/C91</f>
        <v>6.3176187869769956E-4</v>
      </c>
      <c r="E94" s="254"/>
      <c r="F94" s="253">
        <f>F91*D94</f>
        <v>943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1089.3333333333333</v>
      </c>
      <c r="D97" s="160">
        <f>C97/C91</f>
        <v>7.2979774463912414E-4</v>
      </c>
      <c r="E97" s="254"/>
      <c r="F97" s="253">
        <f>F91*D97</f>
        <v>1089.3333333333333</v>
      </c>
    </row>
    <row r="98" spans="2:7" ht="13.9" x14ac:dyDescent="0.4">
      <c r="B98" s="86" t="s">
        <v>207</v>
      </c>
      <c r="C98" s="238">
        <f>C44</f>
        <v>0.13234731251635526</v>
      </c>
      <c r="D98" s="267"/>
      <c r="E98" s="255">
        <f>F98</f>
        <v>0.13234731251635526</v>
      </c>
      <c r="F98" s="255">
        <f>C98</f>
        <v>0.13234731251635526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1836.HK</v>
      </c>
      <c r="D3" s="277"/>
      <c r="E3" s="87"/>
      <c r="F3" s="3" t="s">
        <v>1</v>
      </c>
      <c r="G3" s="132">
        <v>14.4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九興控股</v>
      </c>
      <c r="D4" s="279"/>
      <c r="E4" s="87"/>
      <c r="F4" s="3" t="s">
        <v>2</v>
      </c>
      <c r="G4" s="282">
        <f>Inputs!C10</f>
        <v>821163500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11824.7544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7.7825531959533691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0.75431095413462357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0.13135421474946254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7.2979774463912414E-4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6.3176187869769956E-4</v>
      </c>
      <c r="F24" s="140" t="s">
        <v>260</v>
      </c>
      <c r="G24" s="269">
        <f>G3/(Fin_Analysis!H86*G7)</f>
        <v>12.013644775376948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0.8593093137943234</v>
      </c>
    </row>
    <row r="26" spans="1:8" ht="15.75" customHeight="1" x14ac:dyDescent="0.4">
      <c r="B26" s="138" t="s">
        <v>173</v>
      </c>
      <c r="C26" s="172">
        <f>Fin_Analysis!I83</f>
        <v>0.11297327149257705</v>
      </c>
      <c r="F26" s="141" t="s">
        <v>193</v>
      </c>
      <c r="G26" s="179">
        <f>Fin_Analysis!H88*Exchange_Rate/G3</f>
        <v>7.1527777777777773E-2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10.949370374999921</v>
      </c>
      <c r="D29" s="129">
        <f>G29*(1+G20)</f>
        <v>21.343652275141672</v>
      </c>
      <c r="E29" s="87"/>
      <c r="F29" s="131">
        <f>IF(Fin_Analysis!C108="Profit",Fin_Analysis!F100,IF(Fin_Analysis!C108="Dividend",Fin_Analysis!F103,Fin_Analysis!F106))</f>
        <v>12.881612205882261</v>
      </c>
      <c r="G29" s="273">
        <f>IF(Fin_Analysis!C108="Profit",Fin_Analysis!I100,IF(Fin_Analysis!C108="Dividend",Fin_Analysis!I103,Fin_Analysis!I106))</f>
        <v>18.559697630557977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1492651</v>
      </c>
      <c r="D6" s="201">
        <f>IF(Inputs!D25="","",Inputs!D25)</f>
        <v>1630771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1125923</v>
      </c>
      <c r="D8" s="200">
        <f>IF(Inputs!D26="","",Inputs!D26)</f>
        <v>1278644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366728</v>
      </c>
      <c r="D9" s="152">
        <f t="shared" si="2"/>
        <v>352127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196066</v>
      </c>
      <c r="D10" s="200">
        <f>IF(Inputs!D27="","",Inputs!D27)</f>
        <v>201917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1089.3333333333333</v>
      </c>
      <c r="D12" s="200">
        <f>IF(Inputs!D30="","",MAX(Inputs!D30,0)/(1-Fin_Analysis!$I$84))</f>
        <v>1128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0.11360503337127477</v>
      </c>
      <c r="D13" s="230">
        <f t="shared" si="3"/>
        <v>9.1418108367146589E-2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169572.66666666666</v>
      </c>
      <c r="D14" s="231">
        <f t="shared" ref="D14:M14" si="4">IF(D6="","",D9-D10-MAX(D11,0)-MAX(D12,0))</f>
        <v>149082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0.13744561158735902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943</v>
      </c>
      <c r="D17" s="200">
        <f>IF(Inputs!D29="","",Inputs!D29)</f>
        <v>944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168629.66666666666</v>
      </c>
      <c r="D22" s="162">
        <f t="shared" ref="D22:M22" si="8">IF(D6="","",D14-MAX(D16,0)-MAX(D17,0)-ABS(MAX(D21,0)-MAX(D19,0)))</f>
        <v>148138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8.4729953619432807E-2</v>
      </c>
      <c r="D23" s="154">
        <f t="shared" si="9"/>
        <v>6.812943080297601E-2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0.13832822548344562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0.75431095413462357</v>
      </c>
      <c r="D42" s="157">
        <f t="shared" si="34"/>
        <v>0.78407330029783462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0.13135421474946254</v>
      </c>
      <c r="D43" s="154">
        <f t="shared" si="35"/>
        <v>0.12381689397223768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6.3176187869769956E-4</v>
      </c>
      <c r="D45" s="154">
        <f t="shared" si="37"/>
        <v>5.7886729651189528E-4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7.2979774463912414E-4</v>
      </c>
      <c r="D46" s="154">
        <f t="shared" ref="D46:M46" si="38">IF(D6="","",MAX(D12,0)/D6)</f>
        <v>6.9169736278116298E-4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0.11297327149257708</v>
      </c>
      <c r="D48" s="154">
        <f t="shared" si="40"/>
        <v>9.0839241070634694E-2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5.5921358242618444E-3</v>
      </c>
      <c r="D55" s="154">
        <f t="shared" si="45"/>
        <v>6.3724365119010654E-3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1492651</v>
      </c>
      <c r="D74" s="210"/>
      <c r="E74" s="239">
        <f>Inputs!E91</f>
        <v>1492651</v>
      </c>
      <c r="F74" s="210"/>
      <c r="H74" s="239">
        <f>Inputs!F91</f>
        <v>1492651</v>
      </c>
      <c r="I74" s="210"/>
      <c r="K74" s="24"/>
    </row>
    <row r="75" spans="1:11" ht="15" customHeight="1" x14ac:dyDescent="0.4">
      <c r="B75" s="104" t="s">
        <v>105</v>
      </c>
      <c r="C75" s="77">
        <f>Data!C8</f>
        <v>1125923</v>
      </c>
      <c r="D75" s="160">
        <f>C75/$C$74</f>
        <v>0.75431095413462357</v>
      </c>
      <c r="E75" s="239">
        <f>Inputs!E92</f>
        <v>1125923</v>
      </c>
      <c r="F75" s="161">
        <f>E75/E74</f>
        <v>0.75431095413462357</v>
      </c>
      <c r="H75" s="239">
        <f>Inputs!F92</f>
        <v>1125923</v>
      </c>
      <c r="I75" s="161">
        <f>H75/$H$74</f>
        <v>0.75431095413462357</v>
      </c>
      <c r="K75" s="24"/>
    </row>
    <row r="76" spans="1:11" ht="15" customHeight="1" x14ac:dyDescent="0.4">
      <c r="B76" s="35" t="s">
        <v>95</v>
      </c>
      <c r="C76" s="162">
        <f>C74-C75</f>
        <v>366728</v>
      </c>
      <c r="D76" s="211"/>
      <c r="E76" s="163">
        <f>E74-E75</f>
        <v>366728</v>
      </c>
      <c r="F76" s="211"/>
      <c r="H76" s="163">
        <f>H74-H75</f>
        <v>366728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196066</v>
      </c>
      <c r="D77" s="160">
        <f>C77/$C$74</f>
        <v>0.13135421474946254</v>
      </c>
      <c r="E77" s="239">
        <f>Inputs!E93</f>
        <v>196066.00000000003</v>
      </c>
      <c r="F77" s="161">
        <f>E77/E74</f>
        <v>0.13135421474946254</v>
      </c>
      <c r="H77" s="239">
        <f>Inputs!F93</f>
        <v>196066.00000000003</v>
      </c>
      <c r="I77" s="161">
        <f>H77/$H$74</f>
        <v>0.13135421474946254</v>
      </c>
      <c r="K77" s="24"/>
    </row>
    <row r="78" spans="1:11" ht="15" customHeight="1" x14ac:dyDescent="0.4">
      <c r="B78" s="73" t="s">
        <v>172</v>
      </c>
      <c r="C78" s="77">
        <f>MAX(Data!C12,0)</f>
        <v>1089.3333333333333</v>
      </c>
      <c r="D78" s="160">
        <f>C78/$C$74</f>
        <v>7.2979774463912414E-4</v>
      </c>
      <c r="E78" s="181">
        <f>E74*F78</f>
        <v>1089.3333333333333</v>
      </c>
      <c r="F78" s="161">
        <f>I78</f>
        <v>7.2979774463912414E-4</v>
      </c>
      <c r="H78" s="239">
        <f>Inputs!F97</f>
        <v>1089.3333333333333</v>
      </c>
      <c r="I78" s="161">
        <f>H78/$H$74</f>
        <v>7.2979774463912414E-4</v>
      </c>
      <c r="K78" s="24"/>
    </row>
    <row r="79" spans="1:11" ht="15" customHeight="1" x14ac:dyDescent="0.4">
      <c r="B79" s="257" t="s">
        <v>232</v>
      </c>
      <c r="C79" s="258">
        <f>C76-C77-C78</f>
        <v>169572.66666666666</v>
      </c>
      <c r="D79" s="259">
        <f>C79/C74</f>
        <v>0.11360503337127477</v>
      </c>
      <c r="E79" s="260">
        <f>E76-E77-E78</f>
        <v>169572.66666666663</v>
      </c>
      <c r="F79" s="259">
        <f>E79/E74</f>
        <v>0.11360503337127476</v>
      </c>
      <c r="G79" s="261"/>
      <c r="H79" s="260">
        <f>H76-H77-H78</f>
        <v>169572.66666666663</v>
      </c>
      <c r="I79" s="259">
        <f>H79/H74</f>
        <v>0.11360503337127476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943</v>
      </c>
      <c r="D81" s="160">
        <f>C81/$C$74</f>
        <v>6.3176187869769956E-4</v>
      </c>
      <c r="E81" s="181">
        <f>E74*F81</f>
        <v>943</v>
      </c>
      <c r="F81" s="161">
        <f>I81</f>
        <v>6.3176187869769956E-4</v>
      </c>
      <c r="H81" s="239">
        <f>Inputs!F94</f>
        <v>943</v>
      </c>
      <c r="I81" s="161">
        <f>H81/$H$74</f>
        <v>6.3176187869769956E-4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168629.66666666666</v>
      </c>
      <c r="D83" s="165">
        <f>C83/$C$74</f>
        <v>0.11297327149257708</v>
      </c>
      <c r="E83" s="166">
        <f>E79-E81-E82-E80</f>
        <v>168629.66666666663</v>
      </c>
      <c r="F83" s="165">
        <f>E83/E74</f>
        <v>0.11297327149257705</v>
      </c>
      <c r="H83" s="166">
        <f>H79-H81-H82-H80</f>
        <v>168629.66666666663</v>
      </c>
      <c r="I83" s="165">
        <f>H83/$H$74</f>
        <v>0.11297327149257705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126472.25</v>
      </c>
      <c r="D85" s="259">
        <f>C85/$C$74</f>
        <v>8.4729953619432807E-2</v>
      </c>
      <c r="E85" s="265">
        <f>E83*(1-F84)</f>
        <v>126472.24999999997</v>
      </c>
      <c r="F85" s="259">
        <f>E85/E74</f>
        <v>8.4729953619432793E-2</v>
      </c>
      <c r="G85" s="261"/>
      <c r="H85" s="265">
        <f>H83*(1-I84)</f>
        <v>126472.24999999997</v>
      </c>
      <c r="I85" s="259">
        <f>H85/$H$74</f>
        <v>8.4729953619432793E-2</v>
      </c>
      <c r="K85" s="24"/>
    </row>
    <row r="86" spans="1:11" ht="15" customHeight="1" x14ac:dyDescent="0.4">
      <c r="B86" s="87" t="s">
        <v>160</v>
      </c>
      <c r="C86" s="168">
        <f>C85*Data!C4/Common_Shares</f>
        <v>0.15401591765829825</v>
      </c>
      <c r="D86" s="210"/>
      <c r="E86" s="169">
        <f>E85*Data!C4/Common_Shares</f>
        <v>0.15401591765829822</v>
      </c>
      <c r="F86" s="210"/>
      <c r="H86" s="169">
        <f>H85*Data!C4/Common_Shares</f>
        <v>0.15401591765829822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8.3238685569394441E-2</v>
      </c>
      <c r="D87" s="210"/>
      <c r="E87" s="263">
        <f>E86*Exchange_Rate/Dashboard!G3</f>
        <v>8.3238685569394427E-2</v>
      </c>
      <c r="F87" s="210"/>
      <c r="H87" s="263">
        <f>H86*Exchange_Rate/Dashboard!G3</f>
        <v>8.3238685569394427E-2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0.13234731251635526</v>
      </c>
      <c r="D88" s="167">
        <f>C88/C86</f>
        <v>0.85930931379432318</v>
      </c>
      <c r="E88" s="171">
        <f>Inputs!E98</f>
        <v>0.13234731251635526</v>
      </c>
      <c r="F88" s="167">
        <f>E88/E86</f>
        <v>0.8593093137943234</v>
      </c>
      <c r="H88" s="171">
        <f>Inputs!F98</f>
        <v>0.13234731251635526</v>
      </c>
      <c r="I88" s="167">
        <f>H88/H86</f>
        <v>0.8593093137943234</v>
      </c>
      <c r="K88" s="24"/>
    </row>
    <row r="89" spans="1:11" ht="15" customHeight="1" x14ac:dyDescent="0.4">
      <c r="B89" s="87" t="s">
        <v>221</v>
      </c>
      <c r="C89" s="262">
        <f>C88*Exchange_Rate/Dashboard!G3</f>
        <v>7.1527777777777773E-2</v>
      </c>
      <c r="D89" s="210"/>
      <c r="E89" s="262">
        <f>E88*Exchange_Rate/Dashboard!G3</f>
        <v>7.1527777777777773E-2</v>
      </c>
      <c r="F89" s="210"/>
      <c r="H89" s="262">
        <f>H88*Exchange_Rate/Dashboard!G3</f>
        <v>7.1527777777777773E-2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25.909523296889006</v>
      </c>
      <c r="H93" s="87" t="s">
        <v>209</v>
      </c>
      <c r="I93" s="144">
        <f>FV(H87,D93,0,-(H86/C93))*Exchange_Rate</f>
        <v>25.909523296889006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21.086539016440842</v>
      </c>
      <c r="H94" s="87" t="s">
        <v>210</v>
      </c>
      <c r="I94" s="144">
        <f>FV(H89,D93,0,-(H88/C93))*Exchange_Rate</f>
        <v>21.086539016440842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10577909.764624998</v>
      </c>
      <c r="D97" s="214"/>
      <c r="E97" s="123">
        <f>PV(C94,D93,0,-F93)</f>
        <v>12.881612205882261</v>
      </c>
      <c r="F97" s="214"/>
      <c r="H97" s="123">
        <f>PV(C94,D93,0,-I93)</f>
        <v>12.881612205882261</v>
      </c>
      <c r="I97" s="123">
        <f>PV(C93,D93,0,-I93)</f>
        <v>18.559697630557977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10577909.764624998</v>
      </c>
      <c r="D100" s="109">
        <f>MIN(F100*(1-C94),E100)</f>
        <v>10.949370374999921</v>
      </c>
      <c r="E100" s="109">
        <f>MAX(E97-H98+E99,0)</f>
        <v>12.881612205882261</v>
      </c>
      <c r="F100" s="109">
        <f>(E100+H100)/2</f>
        <v>12.881612205882261</v>
      </c>
      <c r="H100" s="109">
        <f>MAX(C100*Data!$C$4/Common_Shares,0)</f>
        <v>12.881612205882261</v>
      </c>
      <c r="I100" s="109">
        <f>MAX(I97-H98+H99,0)</f>
        <v>18.559697630557977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8608861.861651374</v>
      </c>
      <c r="D103" s="109">
        <f>MIN(F103*(1-C94),E103)</f>
        <v>8.9111761328939583</v>
      </c>
      <c r="E103" s="123">
        <f>PV(C94,D93,0,-F94)</f>
        <v>10.483736626934069</v>
      </c>
      <c r="F103" s="109">
        <f>(E103+H103)/2</f>
        <v>10.483736626934069</v>
      </c>
      <c r="H103" s="123">
        <f>PV(C94,D93,0,-I94)</f>
        <v>10.483736626934069</v>
      </c>
      <c r="I103" s="109">
        <f>PV(C93,D93,0,-I94)</f>
        <v>15.10486255326421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9593385.8131381851</v>
      </c>
      <c r="D106" s="109">
        <f>(D100+D103)/2</f>
        <v>9.9302732539469396</v>
      </c>
      <c r="E106" s="123">
        <f>(E100+E103)/2</f>
        <v>11.682674416408165</v>
      </c>
      <c r="F106" s="109">
        <f>(F100+F103)/2</f>
        <v>11.682674416408165</v>
      </c>
      <c r="H106" s="123">
        <f>(H100+H103)/2</f>
        <v>11.682674416408165</v>
      </c>
      <c r="I106" s="123">
        <f>(I100+I103)/2</f>
        <v>16.832280091911095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