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735822F-8D33-4F79-823E-0F8B6A23400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E93" i="4"/>
  <c r="F92" i="4"/>
  <c r="F91" i="4"/>
  <c r="F97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3" i="4" l="1"/>
  <c r="E95" i="4"/>
  <c r="F96" i="4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D106" i="3" l="1"/>
  <c r="C29" i="1" s="1"/>
</calcChain>
</file>

<file path=xl/sharedStrings.xml><?xml version="1.0" encoding="utf-8"?>
<sst xmlns="http://schemas.openxmlformats.org/spreadsheetml/2006/main" count="390" uniqueCount="267">
  <si>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</si>
  <si>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</si>
  <si>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</si>
  <si>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</si>
  <si>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</si>
  <si>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</si>
  <si>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</si>
  <si>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</si>
  <si>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</si>
  <si>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</si>
  <si>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</si>
  <si>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</si>
  <si>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</si>
  <si>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</si>
  <si>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</si>
  <si>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</si>
  <si>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</si>
  <si>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</si>
  <si>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</si>
  <si>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</si>
  <si>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</si>
  <si>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</si>
  <si>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</si>
  <si>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</si>
  <si>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</si>
  <si>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</si>
  <si>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</si>
  <si>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</si>
  <si>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</si>
  <si>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</si>
  <si>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</si>
  <si>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</si>
  <si>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</si>
  <si>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</si>
  <si>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</si>
  <si>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</si>
  <si>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</si>
  <si>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</si>
  <si>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</si>
  <si>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</si>
  <si>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</si>
  <si>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</si>
  <si>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</si>
  <si>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</si>
  <si>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</si>
  <si>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</si>
  <si>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</si>
  <si>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</si>
  <si>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</si>
  <si>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</si>
  <si>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</si>
  <si>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</si>
  <si>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</si>
  <si>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</si>
  <si>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</si>
  <si>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</si>
  <si>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</si>
  <si>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</si>
  <si>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</si>
  <si>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</si>
  <si>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</si>
  <si>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</si>
  <si>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</si>
  <si>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</si>
  <si>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</si>
  <si>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</si>
  <si>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</si>
  <si>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</si>
  <si>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</si>
  <si>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</si>
  <si>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</si>
  <si>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</si>
  <si>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</si>
  <si>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</si>
  <si>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</si>
  <si>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</si>
  <si>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</si>
  <si>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</si>
  <si>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</si>
  <si>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</si>
  <si>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</si>
  <si>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</si>
  <si>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</si>
  <si>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</si>
  <si>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</si>
  <si>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</si>
  <si>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</si>
  <si>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</si>
  <si>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</si>
  <si>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</si>
  <si>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</si>
  <si>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</si>
  <si>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</si>
  <si>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</si>
  <si>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</si>
  <si>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</si>
  <si>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</si>
  <si>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</si>
  <si>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</si>
  <si>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</si>
  <si>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</si>
  <si>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</si>
  <si>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</si>
  <si>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</si>
  <si>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</si>
  <si>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</si>
  <si>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</si>
  <si>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</si>
  <si>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</si>
  <si>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</si>
  <si>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</si>
  <si>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</si>
  <si>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</si>
  <si>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</si>
  <si>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</si>
  <si>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</si>
  <si>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</si>
  <si>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</si>
  <si>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</si>
  <si>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</si>
  <si>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</si>
  <si>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</si>
  <si>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</si>
  <si>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</si>
  <si>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</si>
  <si>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</si>
  <si>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</si>
  <si>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</si>
  <si>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</si>
  <si>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</si>
  <si>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</si>
  <si>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</si>
  <si>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</si>
  <si>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</si>
  <si>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</si>
  <si>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</si>
  <si>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</si>
  <si>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</si>
  <si>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</si>
  <si>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</si>
  <si>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</si>
  <si>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</si>
  <si>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</si>
  <si>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</si>
  <si>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</si>
  <si>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</si>
  <si>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</si>
  <si>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</si>
  <si>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</si>
  <si>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</si>
  <si>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</si>
  <si>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</si>
  <si>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</si>
  <si>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</si>
  <si>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</si>
  <si>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</si>
  <si>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</si>
  <si>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</si>
  <si>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</si>
  <si>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</si>
  <si>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</si>
  <si>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</si>
  <si>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</si>
  <si>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</si>
  <si>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</si>
  <si>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</si>
  <si>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</si>
  <si>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</si>
  <si>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</si>
  <si>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</si>
  <si>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</si>
  <si>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</si>
  <si>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</si>
  <si>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</si>
  <si>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</si>
  <si>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</si>
  <si>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</si>
  <si>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</si>
  <si>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</si>
  <si>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</si>
  <si>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</si>
  <si>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</si>
  <si>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</si>
  <si>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</si>
  <si>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</si>
  <si>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</si>
  <si>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</si>
  <si>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</si>
  <si>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</si>
  <si>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</si>
  <si>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</si>
  <si>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</si>
  <si>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</si>
  <si>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</si>
  <si>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</si>
  <si>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</si>
  <si>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</si>
  <si>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</si>
  <si>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</si>
  <si>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</si>
  <si>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</si>
  <si>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</si>
  <si>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</si>
  <si>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</si>
  <si>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</si>
  <si>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</si>
  <si>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</si>
  <si>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</si>
  <si>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</si>
  <si>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</si>
  <si>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</si>
  <si>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</si>
  <si>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</si>
  <si>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</si>
  <si>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</si>
  <si>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</si>
  <si>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</si>
  <si>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</si>
  <si>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</si>
  <si>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</si>
  <si>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</si>
  <si>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</si>
  <si>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</si>
  <si>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</si>
  <si>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</si>
  <si>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</si>
  <si>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</si>
  <si>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</si>
  <si>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</si>
  <si>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</si>
  <si>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</si>
  <si>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</si>
  <si>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</si>
  <si>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</si>
  <si>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</si>
  <si>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</si>
  <si>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</si>
  <si>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</si>
  <si>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</si>
  <si>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</si>
  <si>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</si>
  <si>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</si>
  <si>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</si>
  <si>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</si>
  <si>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</si>
  <si>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</si>
  <si>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</si>
  <si>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</si>
  <si>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</si>
  <si>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</si>
  <si>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</si>
  <si>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</si>
  <si>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</si>
  <si>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</si>
  <si>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</si>
  <si>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</si>
  <si>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</si>
  <si>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</si>
  <si>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</si>
  <si>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</si>
  <si>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6601.HK</t>
  </si>
  <si>
    <t>朝云集团</t>
  </si>
  <si>
    <t>C0007</t>
  </si>
  <si>
    <t>CNY</t>
  </si>
  <si>
    <t>CN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</si>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</sst>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260</v>
      </c>
    </row>
    <row r="5" spans="1:5" ht="13.9" x14ac:dyDescent="0.4">
      <c r="B5" s="141" t="s">
        <v>195</v>
      </c>
      <c r="C5" s="192" t="s">
        <v>261</v>
      </c>
    </row>
    <row r="6" spans="1:5" ht="13.9" x14ac:dyDescent="0.4">
      <c r="B6" s="141" t="s">
        <v>163</v>
      </c>
      <c r="C6" s="190">
        <v>45593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262</v>
      </c>
    </row>
    <row r="10" spans="1:5" ht="13.9" x14ac:dyDescent="0.4">
      <c r="B10" s="140" t="s">
        <v>217</v>
      </c>
      <c r="C10" s="194">
        <v>1333333500</v>
      </c>
    </row>
    <row r="11" spans="1:5" ht="13.9" x14ac:dyDescent="0.4">
      <c r="B11" s="140" t="s">
        <v>218</v>
      </c>
      <c r="C11" s="193" t="s">
        <v>263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255</v>
      </c>
      <c r="C15" s="177" t="s">
        <v>264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245</v>
      </c>
      <c r="D17" s="24"/>
    </row>
    <row r="18" spans="2:13" ht="13.9" x14ac:dyDescent="0.4">
      <c r="B18" s="241" t="s">
        <v>238</v>
      </c>
      <c r="C18" s="243" t="s">
        <v>245</v>
      </c>
      <c r="D18" s="24"/>
    </row>
    <row r="19" spans="2:13" ht="13.9" x14ac:dyDescent="0.4">
      <c r="B19" s="241" t="s">
        <v>239</v>
      </c>
      <c r="C19" s="243" t="s">
        <v>245</v>
      </c>
      <c r="D19" s="24"/>
    </row>
    <row r="20" spans="2:13" ht="13.9" x14ac:dyDescent="0.4">
      <c r="B20" s="242" t="s">
        <v>228</v>
      </c>
      <c r="C20" s="243" t="s">
        <v>245</v>
      </c>
      <c r="D20" s="24"/>
    </row>
    <row r="21" spans="2:13" ht="13.9" x14ac:dyDescent="0.4">
      <c r="B21" s="225" t="s">
        <v>231</v>
      </c>
      <c r="C21" s="243" t="s">
        <v>245</v>
      </c>
      <c r="D21" s="24"/>
    </row>
    <row r="22" spans="2:13" ht="78.75" x14ac:dyDescent="0.4">
      <c r="B22" s="227" t="s">
        <v>230</v>
      </c>
      <c r="C22" s="244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1615585</v>
      </c>
      <c r="D25" s="150">
        <v>1446638</v>
      </c>
      <c r="E25" s="150">
        <v>1769157</v>
      </c>
      <c r="F25" s="150">
        <v>1702154</v>
      </c>
      <c r="G25" s="150">
        <v>1383402</v>
      </c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897327</v>
      </c>
      <c r="D26" s="151">
        <v>845264</v>
      </c>
      <c r="E26" s="151">
        <v>981731</v>
      </c>
      <c r="F26" s="151">
        <v>959572</v>
      </c>
      <c r="G26" s="151">
        <v>783542</v>
      </c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613104</v>
      </c>
      <c r="D27" s="151">
        <v>599182</v>
      </c>
      <c r="E27" s="151">
        <v>705390</v>
      </c>
      <c r="F27" s="151">
        <v>456610</v>
      </c>
      <c r="G27" s="151">
        <v>396643</v>
      </c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256</v>
      </c>
      <c r="C29" s="151">
        <v>1003</v>
      </c>
      <c r="D29" s="151">
        <v>863</v>
      </c>
      <c r="E29" s="151">
        <v>1613</v>
      </c>
      <c r="F29" s="151">
        <v>2645</v>
      </c>
      <c r="G29" s="151">
        <v>299</v>
      </c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2199</v>
      </c>
      <c r="D30" s="151">
        <v>645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>
        <v>-169280</v>
      </c>
      <c r="D31" s="151">
        <v>-50846</v>
      </c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>
        <v>35974</v>
      </c>
      <c r="D32" s="151">
        <v>32106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>
        <v>15312</v>
      </c>
      <c r="D33" s="151">
        <v>11600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>
        <v>734909</v>
      </c>
      <c r="E37" s="151">
        <v>677999</v>
      </c>
      <c r="F37" s="151">
        <v>1352795</v>
      </c>
      <c r="G37" s="151">
        <v>1205068</v>
      </c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>
        <v>18682</v>
      </c>
      <c r="E38" s="151">
        <v>61277</v>
      </c>
      <c r="F38" s="151">
        <v>51229</v>
      </c>
      <c r="G38" s="151">
        <v>23195</v>
      </c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>
        <v>6202</v>
      </c>
      <c r="E39" s="151">
        <v>5517</v>
      </c>
      <c r="F39" s="151">
        <v>301783</v>
      </c>
      <c r="G39" s="151">
        <v>3225</v>
      </c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>
        <v>10412</v>
      </c>
      <c r="E40" s="151">
        <v>9392</v>
      </c>
      <c r="F40" s="151">
        <v>5096</v>
      </c>
      <c r="G40" s="151">
        <v>6880</v>
      </c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>
        <v>2824568</v>
      </c>
      <c r="E41" s="151">
        <v>2735259</v>
      </c>
      <c r="F41" s="151">
        <v>250534</v>
      </c>
      <c r="G41" s="151">
        <v>13930</v>
      </c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>
        <v>7297</v>
      </c>
      <c r="E42" s="151">
        <v>1498</v>
      </c>
      <c r="F42" s="151">
        <v>2853</v>
      </c>
      <c r="G42" s="151">
        <v>696</v>
      </c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>
        <v>2868641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0.1178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252</v>
      </c>
      <c r="C45" s="153">
        <f>IF(C44="","",C44*Exchange_Rate/Dashboard!$G$3)</f>
        <v>6.5117999073566038E-2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249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117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2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6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67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2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2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8">
        <v>5</v>
      </c>
    </row>
    <row r="87" spans="2:8" ht="13.9" x14ac:dyDescent="0.4">
      <c r="B87" s="10" t="s">
        <v>248</v>
      </c>
      <c r="C87" s="237" t="s">
        <v>265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1615585</v>
      </c>
      <c r="D91" s="210"/>
      <c r="E91" s="252">
        <f>C91</f>
        <v>1615585</v>
      </c>
      <c r="F91" s="252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60">
        <f>C92/C91</f>
        <v>0.55541924442229906</v>
      </c>
      <c r="E92" s="253">
        <f>E91*D92</f>
        <v>897327</v>
      </c>
      <c r="F92" s="253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60">
        <f>C93/C91</f>
        <v>0.37949349616392825</v>
      </c>
      <c r="E93" s="253">
        <f>E91*D93</f>
        <v>613104</v>
      </c>
      <c r="F93" s="253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60">
        <f>C94/C91</f>
        <v>6.208277497005729E-4</v>
      </c>
      <c r="E94" s="254"/>
      <c r="F94" s="253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60">
        <f>C95/C91</f>
        <v>1.2789175437999239E-2</v>
      </c>
      <c r="E95" s="253">
        <f>E91*D95</f>
        <v>20662</v>
      </c>
      <c r="F95" s="253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60">
        <f>C97/C91</f>
        <v>1.8148224946381651E-3</v>
      </c>
      <c r="E97" s="254"/>
      <c r="F97" s="253">
        <f>F91*D97</f>
        <v>2932</v>
      </c>
    </row>
    <row r="98" spans="2:7" ht="13.9" x14ac:dyDescent="0.4">
      <c r="B98" s="86" t="s">
        <v>207</v>
      </c>
      <c r="C98" s="238">
        <f>C44</f>
        <v>0.1178</v>
      </c>
      <c r="D98" s="267"/>
      <c r="E98" s="255">
        <f>F98</f>
        <v>0.1178</v>
      </c>
      <c r="F98" s="255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6601.HK</v>
      </c>
      <c r="D3" s="277"/>
      <c r="E3" s="87"/>
      <c r="F3" s="3" t="s">
        <v>1</v>
      </c>
      <c r="G3" s="132">
        <v>1.94</v>
      </c>
      <c r="H3" s="134" t="s">
        <v>266</v>
      </c>
    </row>
    <row r="4" spans="1:10" ht="15.75" customHeight="1" x14ac:dyDescent="0.4">
      <c r="B4" s="35" t="s">
        <v>195</v>
      </c>
      <c r="C4" s="278" t="str">
        <f>Inputs!C5</f>
        <v>朝云集团</v>
      </c>
      <c r="D4" s="279"/>
      <c r="E4" s="87"/>
      <c r="F4" s="3" t="s">
        <v>2</v>
      </c>
      <c r="G4" s="282">
        <f>Inputs!C10</f>
        <v>1333333500</v>
      </c>
      <c r="H4" s="282"/>
      <c r="I4" s="39"/>
    </row>
    <row r="5" spans="1:10" ht="15.75" customHeight="1" x14ac:dyDescent="0.4">
      <c r="B5" s="3" t="s">
        <v>163</v>
      </c>
      <c r="C5" s="280">
        <f>Inputs!C6</f>
        <v>45593</v>
      </c>
      <c r="D5" s="281"/>
      <c r="E5" s="34"/>
      <c r="F5" s="35" t="s">
        <v>99</v>
      </c>
      <c r="G5" s="274">
        <f>G3*G4/1000000</f>
        <v>2586.6669900000002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C0007</v>
      </c>
      <c r="E7" s="87"/>
      <c r="F7" s="35" t="s">
        <v>5</v>
      </c>
      <c r="G7" s="133">
        <v>1.0724016825358074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5">
        <v>0.06</v>
      </c>
      <c r="D12" s="173">
        <v>6.4500000000000002E-2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6">
        <v>6.8999999999999992E-2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0.55541924442229906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>
        <f>G3/(Data!C36*Data!C4/Common_Shares*Exchange_Rate)</f>
        <v>0.79676219782188029</v>
      </c>
    </row>
    <row r="24" spans="1:8" ht="15.75" customHeight="1" x14ac:dyDescent="0.4">
      <c r="B24" s="137" t="s">
        <v>170</v>
      </c>
      <c r="C24" s="172">
        <f>Fin_Analysis!I81</f>
        <v>6.208277497005729E-4</v>
      </c>
      <c r="F24" s="140" t="s">
        <v>259</v>
      </c>
      <c r="G24" s="269">
        <f>G3/(Fin_Analysis!H86*G7)</f>
        <v>39.922569565543164</v>
      </c>
    </row>
    <row r="25" spans="1:8" ht="15.75" customHeight="1" x14ac:dyDescent="0.4">
      <c r="B25" s="137" t="s">
        <v>243</v>
      </c>
      <c r="C25" s="172">
        <f>Fin_Analysis!I82</f>
        <v>1.2789175437999239E-2</v>
      </c>
      <c r="F25" s="140" t="s">
        <v>174</v>
      </c>
      <c r="G25" s="172">
        <f>Fin_Analysis!I88</f>
        <v>2.5996778479834153</v>
      </c>
    </row>
    <row r="26" spans="1:8" ht="15.75" customHeight="1" x14ac:dyDescent="0.4">
      <c r="B26" s="138" t="s">
        <v>173</v>
      </c>
      <c r="C26" s="172">
        <f>Fin_Analysis!I83</f>
        <v>4.9862433731434744E-2</v>
      </c>
      <c r="F26" s="141" t="s">
        <v>193</v>
      </c>
      <c r="G26" s="179">
        <f>Fin_Analysis!H88*Exchange_Rate/G3</f>
        <v>6.5117999073566038E-2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257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1.3258310482863742</v>
      </c>
      <c r="D29" s="129">
        <f>G29*(1+G20)</f>
        <v>2.2794095091868223</v>
      </c>
      <c r="E29" s="87"/>
      <c r="F29" s="131">
        <f>IF(Fin_Analysis!C108="Profit",Fin_Analysis!F100,IF(Fin_Analysis!C108="Dividend",Fin_Analysis!F103,Fin_Analysis!F106))</f>
        <v>1.5598012332780873</v>
      </c>
      <c r="G29" s="273">
        <f>IF(Fin_Analysis!C108="Profit",Fin_Analysis!I100,IF(Fin_Analysis!C108="Dividend",Fin_Analysis!I103,Fin_Analysis!I106))</f>
        <v>1.9820952253798456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unclear</v>
      </c>
    </row>
    <row r="34" spans="1:3" ht="15.75" customHeight="1" x14ac:dyDescent="0.4">
      <c r="A34"/>
      <c r="B34" s="19" t="s">
        <v>225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unclear</v>
      </c>
    </row>
    <row r="37" spans="1:3" ht="15.75" customHeight="1" x14ac:dyDescent="0.4">
      <c r="A37"/>
      <c r="B37" s="20" t="s">
        <v>239</v>
      </c>
      <c r="C37" s="246" t="str">
        <f>Inputs!C19</f>
        <v>unclear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unclear</v>
      </c>
    </row>
    <row r="40" spans="1:3" ht="15.75" customHeight="1" x14ac:dyDescent="0.4">
      <c r="A40"/>
      <c r="B40" s="1" t="s">
        <v>231</v>
      </c>
      <c r="C40" s="246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1615585</v>
      </c>
      <c r="D6" s="201">
        <f>IF(Inputs!D25="","",Inputs!D25)</f>
        <v>1446638</v>
      </c>
      <c r="E6" s="201">
        <f>IF(Inputs!E25="","",Inputs!E25)</f>
        <v>1769157</v>
      </c>
      <c r="F6" s="201">
        <f>IF(Inputs!F25="","",Inputs!F25)</f>
        <v>1702154</v>
      </c>
      <c r="G6" s="201">
        <f>IF(Inputs!G25="","",Inputs!G25)</f>
        <v>1383402</v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897327</v>
      </c>
      <c r="D8" s="200">
        <f>IF(Inputs!D26="","",Inputs!D26)</f>
        <v>845264</v>
      </c>
      <c r="E8" s="200">
        <f>IF(Inputs!E26="","",Inputs!E26)</f>
        <v>981731</v>
      </c>
      <c r="F8" s="200">
        <f>IF(Inputs!F26="","",Inputs!F26)</f>
        <v>959572</v>
      </c>
      <c r="G8" s="200">
        <f>IF(Inputs!G26="","",Inputs!G26)</f>
        <v>783542</v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718258</v>
      </c>
      <c r="D9" s="152">
        <f t="shared" si="2"/>
        <v>601374</v>
      </c>
      <c r="E9" s="152">
        <f t="shared" si="2"/>
        <v>787426</v>
      </c>
      <c r="F9" s="152">
        <f t="shared" si="2"/>
        <v>742582</v>
      </c>
      <c r="G9" s="152">
        <f t="shared" si="2"/>
        <v>599860</v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613104</v>
      </c>
      <c r="D10" s="200">
        <f>IF(Inputs!D27="","",Inputs!D27)</f>
        <v>599182</v>
      </c>
      <c r="E10" s="200">
        <f>IF(Inputs!E27="","",Inputs!E27)</f>
        <v>705390</v>
      </c>
      <c r="F10" s="200">
        <f>IF(Inputs!F27="","",Inputs!F27)</f>
        <v>456610</v>
      </c>
      <c r="G10" s="200">
        <f>IF(Inputs!G27="","",Inputs!G27)</f>
        <v>396643</v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2932</v>
      </c>
      <c r="D12" s="200">
        <f>IF(Inputs!D30="","",MAX(Inputs!D30,0)/(1-Fin_Analysis!$I$84))</f>
        <v>860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6.3272436919134561E-2</v>
      </c>
      <c r="D13" s="230">
        <f t="shared" si="3"/>
        <v>9.2075557257586215E-4</v>
      </c>
      <c r="E13" s="230">
        <f t="shared" si="3"/>
        <v>4.6370107344910601E-2</v>
      </c>
      <c r="F13" s="230">
        <f t="shared" si="3"/>
        <v>0.16800595010792208</v>
      </c>
      <c r="G13" s="230">
        <f t="shared" si="3"/>
        <v>0.14689656368864581</v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102222</v>
      </c>
      <c r="D14" s="231">
        <f t="shared" ref="D14:M14" si="4">IF(D6="","",D9-D10-MAX(D11,0)-MAX(D12,0))</f>
        <v>1332</v>
      </c>
      <c r="E14" s="231">
        <f t="shared" si="4"/>
        <v>82036</v>
      </c>
      <c r="F14" s="231">
        <f t="shared" si="4"/>
        <v>285972</v>
      </c>
      <c r="G14" s="231">
        <f t="shared" si="4"/>
        <v>203217</v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75.743243243243242</v>
      </c>
      <c r="D15" s="233">
        <f t="shared" ref="D15:M15" si="5">IF(E14="","",IF(ABS(D14+E14)=ABS(D14)+ABS(E14),IF(D14&lt;0,-1,1)*(D14-E14)/E14,"Turn"))</f>
        <v>-0.98376322590082399</v>
      </c>
      <c r="E15" s="233">
        <f t="shared" si="5"/>
        <v>-0.71313275425566136</v>
      </c>
      <c r="F15" s="233">
        <f t="shared" si="5"/>
        <v>0.40722478926467764</v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>
        <f>IF(Inputs!C31="","",Inputs!C31)</f>
        <v>-169280</v>
      </c>
      <c r="D16" s="200">
        <f>IF(Inputs!D31="","",Inputs!D31)</f>
        <v>-50846</v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200">
        <f>IF(Inputs!C29="","",Inputs!C29)</f>
        <v>1003</v>
      </c>
      <c r="D17" s="200">
        <f>IF(Inputs!D29="","",Inputs!D29)</f>
        <v>863</v>
      </c>
      <c r="E17" s="200">
        <f>IF(Inputs!E29="","",Inputs!E29)</f>
        <v>1613</v>
      </c>
      <c r="F17" s="200">
        <f>IF(Inputs!F29="","",Inputs!F29)</f>
        <v>2645</v>
      </c>
      <c r="G17" s="200">
        <f>IF(Inputs!G29="","",Inputs!G29)</f>
        <v>299</v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>
        <f t="shared" ref="C18:M18" si="6">IF(OR(C6="",C19=""),"",C19/C6)</f>
        <v>2.2266856897037297E-2</v>
      </c>
      <c r="D18" s="153">
        <f t="shared" si="6"/>
        <v>2.2193527337177648E-2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>
        <f>IF(Inputs!C32="","",Inputs!C32)</f>
        <v>35974</v>
      </c>
      <c r="D19" s="200">
        <f>IF(Inputs!D32="","",Inputs!D32)</f>
        <v>32106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9.4776814590380575E-3</v>
      </c>
      <c r="D20" s="153">
        <f t="shared" si="7"/>
        <v>8.0185920734834829E-3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>
        <f>IF(Inputs!C33="","",Inputs!C33)</f>
        <v>15312</v>
      </c>
      <c r="D21" s="200">
        <f>IF(Inputs!D33="","",Inputs!D33)</f>
        <v>11600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80557</v>
      </c>
      <c r="D22" s="162">
        <f t="shared" ref="D22:M22" si="8">IF(D6="","",D14-MAX(D16,0)-MAX(D17,0)-ABS(MAX(D21,0)-MAX(D19,0)))</f>
        <v>-20037</v>
      </c>
      <c r="E22" s="162">
        <f t="shared" si="8"/>
        <v>80423</v>
      </c>
      <c r="F22" s="162">
        <f t="shared" si="8"/>
        <v>283327</v>
      </c>
      <c r="G22" s="162">
        <f t="shared" si="8"/>
        <v>202918</v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3.7396825298576054E-2</v>
      </c>
      <c r="D23" s="154">
        <f t="shared" si="9"/>
        <v>-1.0388051468300985E-2</v>
      </c>
      <c r="E23" s="154">
        <f t="shared" si="9"/>
        <v>3.4093780258055109E-2</v>
      </c>
      <c r="F23" s="154">
        <f t="shared" si="9"/>
        <v>0.12483902749104958</v>
      </c>
      <c r="G23" s="154">
        <f t="shared" si="9"/>
        <v>0.11001032237917828</v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-0.71614777271491947</v>
      </c>
      <c r="F25" s="234">
        <f t="shared" si="10"/>
        <v>0.3962635153116037</v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200">
        <f>IF(Inputs!D37="","",Inputs!D37)</f>
        <v>734909</v>
      </c>
      <c r="E31" s="200">
        <f>IF(Inputs!E37="","",Inputs!E37)</f>
        <v>677999</v>
      </c>
      <c r="F31" s="200">
        <f>IF(Inputs!F37="","",Inputs!F37)</f>
        <v>1352795</v>
      </c>
      <c r="G31" s="200">
        <f>IF(Inputs!G37="","",Inputs!G37)</f>
        <v>1205068</v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200">
        <f>IF(Inputs!D38="","",Inputs!D38)</f>
        <v>18682</v>
      </c>
      <c r="E32" s="200">
        <f>IF(Inputs!E38="","",Inputs!E38)</f>
        <v>61277</v>
      </c>
      <c r="F32" s="200">
        <f>IF(Inputs!F38="","",Inputs!F38)</f>
        <v>51229</v>
      </c>
      <c r="G32" s="200">
        <f>IF(Inputs!G38="","",Inputs!G38)</f>
        <v>23195</v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200">
        <f>IF(Inputs!D39="","",Inputs!D39)</f>
        <v>6202</v>
      </c>
      <c r="E33" s="200">
        <f>IF(Inputs!E39="","",Inputs!E39)</f>
        <v>5517</v>
      </c>
      <c r="F33" s="200">
        <f>IF(Inputs!F39="","",Inputs!F39)</f>
        <v>301783</v>
      </c>
      <c r="G33" s="200">
        <f>IF(Inputs!G39="","",Inputs!G39)</f>
        <v>3225</v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200">
        <f>IF(Inputs!D40="","",Inputs!D40)</f>
        <v>10412</v>
      </c>
      <c r="E34" s="200">
        <f>IF(Inputs!E40="","",Inputs!E40)</f>
        <v>9392</v>
      </c>
      <c r="F34" s="200">
        <f>IF(Inputs!F40="","",Inputs!F40)</f>
        <v>5096</v>
      </c>
      <c r="G34" s="200">
        <f>IF(Inputs!G40="","",Inputs!G40)</f>
        <v>6880</v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200">
        <f>IF(Inputs!D41="","",Inputs!D41)</f>
        <v>2824568</v>
      </c>
      <c r="E36" s="200">
        <f>IF(Inputs!E41="","",Inputs!E41)</f>
        <v>2735259</v>
      </c>
      <c r="F36" s="200">
        <f>IF(Inputs!F41="","",Inputs!F41)</f>
        <v>250534</v>
      </c>
      <c r="G36" s="200">
        <f>IF(Inputs!G41="","",Inputs!G41)</f>
        <v>13930</v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200">
        <f>IF(Inputs!D42="","",Inputs!D42)</f>
        <v>7297</v>
      </c>
      <c r="E37" s="200">
        <f>IF(Inputs!E42="","",Inputs!E42)</f>
        <v>1498</v>
      </c>
      <c r="F37" s="200">
        <f>IF(Inputs!F42="","",Inputs!F42)</f>
        <v>2853</v>
      </c>
      <c r="G37" s="200">
        <f>IF(Inputs!G42="","",Inputs!G42)</f>
        <v>696</v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200">
        <f>IF(Inputs!D43="","",Inputs!D43)</f>
        <v>2868641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>
        <f>IF(C6="","",C14/MAX(C39,0))</f>
        <v>0.16361829121309177</v>
      </c>
      <c r="D40" s="156">
        <f>IF(D6="","",D14/MAX(D39,0))</f>
        <v>1.8773308076750696E-3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0.55541924442229906</v>
      </c>
      <c r="D42" s="157">
        <f t="shared" si="34"/>
        <v>0.5842954491724951</v>
      </c>
      <c r="E42" s="157">
        <f t="shared" si="34"/>
        <v>0.55491457230760188</v>
      </c>
      <c r="F42" s="157">
        <f t="shared" si="34"/>
        <v>0.56373982612619067</v>
      </c>
      <c r="G42" s="157">
        <f t="shared" si="34"/>
        <v>0.56638778894348862</v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0.37949349616392825</v>
      </c>
      <c r="D43" s="154">
        <f t="shared" si="35"/>
        <v>0.41418931342879145</v>
      </c>
      <c r="E43" s="154">
        <f t="shared" si="35"/>
        <v>0.39871532034748752</v>
      </c>
      <c r="F43" s="154">
        <f t="shared" si="35"/>
        <v>0.2682542237658872</v>
      </c>
      <c r="G43" s="154">
        <f t="shared" si="35"/>
        <v>0.28671564736786559</v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6.208277497005729E-4</v>
      </c>
      <c r="D45" s="154">
        <f t="shared" si="37"/>
        <v>5.9655559994967644E-4</v>
      </c>
      <c r="E45" s="154">
        <f t="shared" si="37"/>
        <v>9.1173366750378854E-4</v>
      </c>
      <c r="F45" s="154">
        <f t="shared" si="37"/>
        <v>1.5539134531893119E-3</v>
      </c>
      <c r="G45" s="154">
        <f t="shared" si="37"/>
        <v>2.1613384974143452E-4</v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1.8148224946381651E-3</v>
      </c>
      <c r="D46" s="154">
        <f t="shared" ref="D46:M46" si="38">IF(D6="","",MAX(D12,0)/D6)</f>
        <v>5.9448182613756862E-4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1.2789175437999239E-2</v>
      </c>
      <c r="D47" s="154">
        <f t="shared" ref="D47:M47" si="39">IF(D6="","",ABS(MAX(D21,0)-MAX(D19,0))/D6)</f>
        <v>1.4174935263694165E-2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4.9862433731434744E-2</v>
      </c>
      <c r="D48" s="154">
        <f t="shared" si="40"/>
        <v>-1.385073529106798E-2</v>
      </c>
      <c r="E48" s="154">
        <f t="shared" si="40"/>
        <v>4.5458373677406808E-2</v>
      </c>
      <c r="F48" s="154">
        <f t="shared" si="40"/>
        <v>0.16645203665473277</v>
      </c>
      <c r="G48" s="154">
        <f t="shared" si="40"/>
        <v>0.14668042983890439</v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0.11203000770618693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9.7865479067953717E-2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>
        <f>IF(C36="","",(C27-C36)/C27)</f>
        <v>0.1751627786077426</v>
      </c>
      <c r="D53" s="157">
        <f t="shared" ref="D53:M53" si="43">IF(D36="","",(D27-D36)/D27)</f>
        <v>0.21060858391144721</v>
      </c>
      <c r="E53" s="157">
        <f t="shared" si="43"/>
        <v>0.21276976631405353</v>
      </c>
      <c r="F53" s="157">
        <f t="shared" si="43"/>
        <v>0.84857949978181479</v>
      </c>
      <c r="G53" s="157">
        <f t="shared" si="43"/>
        <v>0.98878596160178012</v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>
        <f t="shared" ref="C54:M54" si="44">IF(OR(C22="",C35=""),"",IF(C35&lt;=0,"-",C22/C35))</f>
        <v>2.369393217447572</v>
      </c>
      <c r="D54" s="158">
        <f t="shared" si="44"/>
        <v>-1.2060310581437341</v>
      </c>
      <c r="E54" s="158">
        <f t="shared" si="44"/>
        <v>5.3942585015762292</v>
      </c>
      <c r="F54" s="158">
        <f t="shared" si="44"/>
        <v>0.92325313885928983</v>
      </c>
      <c r="G54" s="158">
        <f t="shared" si="44"/>
        <v>20.080950024740229</v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1.2450811226833175E-2</v>
      </c>
      <c r="D55" s="154">
        <f t="shared" si="45"/>
        <v>-4.3070319908169882E-2</v>
      </c>
      <c r="E55" s="154">
        <f t="shared" si="45"/>
        <v>2.0056451512626985E-2</v>
      </c>
      <c r="F55" s="154">
        <f t="shared" si="45"/>
        <v>9.3355027935918562E-3</v>
      </c>
      <c r="G55" s="154">
        <f t="shared" si="45"/>
        <v>1.4735016114883846E-3</v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>
        <f t="shared" ref="C56:M56" si="46">IF(C28="","",C28/C31)</f>
        <v>4.8753437887604978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2127239.034114202</v>
      </c>
      <c r="E6" s="56">
        <f>1-D6/D3</f>
        <v>0.29731290073299765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1.710940825637334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9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9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9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9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9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7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9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9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9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9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9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8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33999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10"/>
      <c r="E74" s="239">
        <f>Inputs!E91</f>
        <v>1615585</v>
      </c>
      <c r="F74" s="210"/>
      <c r="H74" s="239">
        <f>Inputs!F91</f>
        <v>1615585</v>
      </c>
      <c r="I74" s="210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60">
        <f>C75/$C$74</f>
        <v>0.55541924442229906</v>
      </c>
      <c r="E75" s="239">
        <f>Inputs!E92</f>
        <v>897327</v>
      </c>
      <c r="F75" s="161">
        <f>E75/E74</f>
        <v>0.55541924442229906</v>
      </c>
      <c r="H75" s="239">
        <f>Inputs!F92</f>
        <v>897327</v>
      </c>
      <c r="I75" s="161">
        <f>H75/$H$74</f>
        <v>0.55541924442229906</v>
      </c>
      <c r="K75" s="24"/>
    </row>
    <row r="76" spans="1:11" ht="15" customHeight="1" x14ac:dyDescent="0.4">
      <c r="B76" s="35" t="s">
        <v>95</v>
      </c>
      <c r="C76" s="162">
        <f>C74-C75</f>
        <v>718258</v>
      </c>
      <c r="D76" s="211"/>
      <c r="E76" s="163">
        <f>E74-E75</f>
        <v>718258</v>
      </c>
      <c r="F76" s="211"/>
      <c r="H76" s="163">
        <f>H74-H75</f>
        <v>718258</v>
      </c>
      <c r="I76" s="211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60">
        <f>C77/$C$74</f>
        <v>0.37949349616392825</v>
      </c>
      <c r="E77" s="239">
        <f>Inputs!E93</f>
        <v>613104</v>
      </c>
      <c r="F77" s="161">
        <f>E77/E74</f>
        <v>0.37949349616392825</v>
      </c>
      <c r="H77" s="239">
        <f>Inputs!F93</f>
        <v>613104</v>
      </c>
      <c r="I77" s="161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60">
        <f>C78/$C$74</f>
        <v>1.8148224946381651E-3</v>
      </c>
      <c r="E78" s="181">
        <f>E74*F78</f>
        <v>2932</v>
      </c>
      <c r="F78" s="161">
        <f>I78</f>
        <v>1.8148224946381651E-3</v>
      </c>
      <c r="H78" s="239">
        <f>Inputs!F97</f>
        <v>2932</v>
      </c>
      <c r="I78" s="161">
        <f>H78/$H$74</f>
        <v>1.8148224946381651E-3</v>
      </c>
      <c r="K78" s="24"/>
    </row>
    <row r="79" spans="1:11" ht="15" customHeight="1" x14ac:dyDescent="0.4">
      <c r="B79" s="257" t="s">
        <v>232</v>
      </c>
      <c r="C79" s="258">
        <f>C76-C77-C78</f>
        <v>102222</v>
      </c>
      <c r="D79" s="259">
        <f>C79/C74</f>
        <v>6.3272436919134561E-2</v>
      </c>
      <c r="E79" s="260">
        <f>E76-E77-E78</f>
        <v>102222</v>
      </c>
      <c r="F79" s="259">
        <f>E79/E74</f>
        <v>6.3272436919134561E-2</v>
      </c>
      <c r="G79" s="261"/>
      <c r="H79" s="260">
        <f>H76-H77-H78</f>
        <v>102222</v>
      </c>
      <c r="I79" s="259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60">
        <f>C81/$C$74</f>
        <v>6.208277497005729E-4</v>
      </c>
      <c r="E81" s="181">
        <f>E74*F81</f>
        <v>1003.0000000000001</v>
      </c>
      <c r="F81" s="161">
        <f>I81</f>
        <v>6.208277497005729E-4</v>
      </c>
      <c r="H81" s="239">
        <f>Inputs!F94</f>
        <v>1003.0000000000001</v>
      </c>
      <c r="I81" s="161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60">
        <f>C82/$C$74</f>
        <v>1.2789175437999239E-2</v>
      </c>
      <c r="E82" s="239">
        <f>Inputs!E95</f>
        <v>20662</v>
      </c>
      <c r="F82" s="161">
        <f>E82/E74</f>
        <v>1.2789175437999239E-2</v>
      </c>
      <c r="H82" s="239">
        <f>Inputs!F95</f>
        <v>20662</v>
      </c>
      <c r="I82" s="161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4">
        <f>C79-C81-C82-C80</f>
        <v>80557</v>
      </c>
      <c r="D83" s="165">
        <f>C83/$C$74</f>
        <v>4.9862433731434744E-2</v>
      </c>
      <c r="E83" s="166">
        <f>E79-E81-E82-E80</f>
        <v>80557</v>
      </c>
      <c r="F83" s="165">
        <f>E83/E74</f>
        <v>4.9862433731434744E-2</v>
      </c>
      <c r="H83" s="166">
        <f>H79-H81-H82-H80</f>
        <v>80557</v>
      </c>
      <c r="I83" s="165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60417.75</v>
      </c>
      <c r="D85" s="259">
        <f>C85/$C$74</f>
        <v>3.7396825298576054E-2</v>
      </c>
      <c r="E85" s="265">
        <f>E83*(1-F84)</f>
        <v>60417.75</v>
      </c>
      <c r="F85" s="259">
        <f>E85/E74</f>
        <v>3.7396825298576054E-2</v>
      </c>
      <c r="G85" s="261"/>
      <c r="H85" s="265">
        <f>H83*(1-I84)</f>
        <v>60417.75</v>
      </c>
      <c r="I85" s="259">
        <f>H85/$H$74</f>
        <v>3.7396825298576054E-2</v>
      </c>
      <c r="K85" s="24"/>
    </row>
    <row r="86" spans="1:11" ht="15" customHeight="1" x14ac:dyDescent="0.4">
      <c r="B86" s="87" t="s">
        <v>160</v>
      </c>
      <c r="C86" s="168">
        <f>C85*Data!C4/Common_Shares</f>
        <v>4.5313306835836648E-2</v>
      </c>
      <c r="D86" s="210"/>
      <c r="E86" s="169">
        <f>E85*Data!C4/Common_Shares</f>
        <v>4.5313306835836648E-2</v>
      </c>
      <c r="F86" s="210"/>
      <c r="H86" s="169">
        <f>H85*Data!C4/Common_Shares</f>
        <v>4.5313306835836648E-2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2.504848788248068E-2</v>
      </c>
      <c r="D87" s="210"/>
      <c r="E87" s="263">
        <f>E86*Exchange_Rate/Dashboard!G3</f>
        <v>2.504848788248068E-2</v>
      </c>
      <c r="F87" s="210"/>
      <c r="H87" s="263">
        <f>H86*Exchange_Rate/Dashboard!G3</f>
        <v>2.504848788248068E-2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0.1178</v>
      </c>
      <c r="D88" s="167">
        <f>C88/C86</f>
        <v>2.5996778479834153</v>
      </c>
      <c r="E88" s="171">
        <f>Inputs!E98</f>
        <v>0.1178</v>
      </c>
      <c r="F88" s="167">
        <f>E88/E86</f>
        <v>2.5996778479834153</v>
      </c>
      <c r="H88" s="171">
        <f>Inputs!F98</f>
        <v>0.1178</v>
      </c>
      <c r="I88" s="167">
        <f>H88/H86</f>
        <v>2.5996778479834153</v>
      </c>
      <c r="K88" s="24"/>
    </row>
    <row r="89" spans="1:11" ht="15" customHeight="1" x14ac:dyDescent="0.4">
      <c r="B89" s="87" t="s">
        <v>221</v>
      </c>
      <c r="C89" s="262">
        <f>C88*Exchange_Rate/Dashboard!G3</f>
        <v>6.5117999073566038E-2</v>
      </c>
      <c r="D89" s="210"/>
      <c r="E89" s="262">
        <f>E88*Exchange_Rate/Dashboard!G3</f>
        <v>6.5117999073566038E-2</v>
      </c>
      <c r="F89" s="210"/>
      <c r="H89" s="262">
        <f>H88*Exchange_Rate/Dashboard!G3</f>
        <v>6.5117999073566038E-2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6.8999999999999992E-2</v>
      </c>
      <c r="D93" s="240">
        <f>Inputs!C86</f>
        <v>5</v>
      </c>
      <c r="E93" s="87" t="s">
        <v>209</v>
      </c>
      <c r="F93" s="144">
        <f>FV(E87,D93,0,-(E86/C93))*Exchange_Rate</f>
        <v>0.796996105883085</v>
      </c>
      <c r="H93" s="87" t="s">
        <v>209</v>
      </c>
      <c r="I93" s="144">
        <f>FV(H87,D93,0,-(H86/C93))*Exchange_Rate</f>
        <v>0.796996105883085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2.5098184361269773</v>
      </c>
      <c r="H94" s="87" t="s">
        <v>210</v>
      </c>
      <c r="I94" s="144">
        <f>FV(H89,D93,0,-(H88/C93))*Exchange_Rate</f>
        <v>2.5098184361269773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528330.62866585678</v>
      </c>
      <c r="D97" s="214"/>
      <c r="E97" s="123">
        <f>PV(C94,D93,0,-F93)</f>
        <v>0.39624792196840236</v>
      </c>
      <c r="F97" s="214"/>
      <c r="H97" s="123">
        <f>PV(C94,D93,0,-I93)</f>
        <v>0.39624792196840236</v>
      </c>
      <c r="I97" s="123">
        <f>PV(C93,D93,0,-I93)</f>
        <v>0.57091003058702838</v>
      </c>
      <c r="K97" s="24"/>
    </row>
    <row r="98" spans="2:11" ht="15" customHeight="1" x14ac:dyDescent="0.4">
      <c r="B98" s="28" t="s">
        <v>144</v>
      </c>
      <c r="C98" s="91">
        <f>E53*Exchange_Rate</f>
        <v>4278.8827133178711</v>
      </c>
      <c r="D98" s="214"/>
      <c r="E98" s="214"/>
      <c r="F98" s="214"/>
      <c r="H98" s="123">
        <f>C98*Data!$C$4/Common_Shares</f>
        <v>3.2091616338431992E-3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2131517.9168275199</v>
      </c>
      <c r="D99" s="215"/>
      <c r="E99" s="146">
        <f>IF(H99&gt;0,H99*(1-C94),H99*(1+C94))</f>
        <v>1.358842502122231</v>
      </c>
      <c r="F99" s="215"/>
      <c r="H99" s="146">
        <f>C99*Data!$C$4/Common_Shares</f>
        <v>1.5986382377908601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2655569.6627800586</v>
      </c>
      <c r="D100" s="109">
        <f>MIN(F100*(1-C94),E100)</f>
        <v>1.5910122607474388</v>
      </c>
      <c r="E100" s="109">
        <f>MAX(E97-H98+E99,0)</f>
        <v>1.7518812624567901</v>
      </c>
      <c r="F100" s="109">
        <f>(E100+H100)/2</f>
        <v>1.8717791302911047</v>
      </c>
      <c r="H100" s="109">
        <f>MAX(C100*Data!$C$4/Common_Shares,0)</f>
        <v>1.991676998125419</v>
      </c>
      <c r="I100" s="109">
        <f>MAX(I97-H98+H99,0)</f>
        <v>2.1663391067440454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1663764.6563239829</v>
      </c>
      <c r="D103" s="109">
        <f>MIN(F103*(1-C94),E103)</f>
        <v>1.0606498358253096</v>
      </c>
      <c r="E103" s="123">
        <f>PV(C94,D93,0,-F94)</f>
        <v>1.2478233362650701</v>
      </c>
      <c r="F103" s="109">
        <f>(E103+H103)/2</f>
        <v>1.2478233362650701</v>
      </c>
      <c r="H103" s="123">
        <f>PV(C94,D93,0,-I94)</f>
        <v>1.2478233362650701</v>
      </c>
      <c r="I103" s="109">
        <f>PV(C93,D93,0,-I94)</f>
        <v>1.7978513440156458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1999803.3157899566</v>
      </c>
      <c r="D106" s="109">
        <f>(D100+D103)/2</f>
        <v>1.3258310482863742</v>
      </c>
      <c r="E106" s="123">
        <f>(E100+E103)/2</f>
        <v>1.49985229936093</v>
      </c>
      <c r="F106" s="109">
        <f>(F100+F103)/2</f>
        <v>1.5598012332780873</v>
      </c>
      <c r="H106" s="123">
        <f>(H100+H103)/2</f>
        <v>1.6197501671952446</v>
      </c>
      <c r="I106" s="123">
        <f>(I100+I103)/2</f>
        <v>1.9820952253798456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2024-12-03T10:05:01Z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