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4962E4-F4B2-49E5-92AC-9CD96708F4B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H89" i="3"/>
  <c r="E89" i="3"/>
  <c r="C89" i="3"/>
  <c r="H87" i="3"/>
  <c r="E87" i="3"/>
  <c r="C87" i="3"/>
  <c r="E74" i="3"/>
  <c r="K55" i="2" l="1"/>
  <c r="L55" i="2"/>
  <c r="I46" i="2"/>
  <c r="J46" i="2"/>
  <c r="K46" i="2"/>
  <c r="L46" i="2"/>
  <c r="M46" i="2"/>
  <c r="I21" i="2"/>
  <c r="I55" i="2" s="1"/>
  <c r="J21" i="2"/>
  <c r="J55" i="2" s="1"/>
  <c r="K21" i="2"/>
  <c r="L21" i="2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F21" i="2" l="1"/>
  <c r="F55" i="2" s="1"/>
  <c r="F19" i="2"/>
  <c r="G19" i="2"/>
  <c r="H21" i="2"/>
  <c r="H55" i="2" s="1"/>
  <c r="D19" i="2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E19" i="2" l="1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<sst xmlns="http://schemas.openxmlformats.org/spreadsheetml/2006/main" count="350" uniqueCount="250">
  <si>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</si>
  <si>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</si>
  <si>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</si>
  <si>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</si>
  <si>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</si>
  <si>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</si>
  <si>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</si>
  <si>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</si>
  <si>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</si>
  <si>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</si>
  <si>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</si>
  <si>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</si>
  <si>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</si>
  <si>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</si>
  <si>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</si>
  <si>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</si>
  <si>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</si>
  <si>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</si>
  <si>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</si>
  <si>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</si>
  <si>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</si>
  <si>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</si>
  <si>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</si>
  <si>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</si>
  <si>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</si>
  <si>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</si>
  <si>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</si>
  <si>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</si>
  <si>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</si>
  <si>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</si>
  <si>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</si>
  <si>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</si>
  <si>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</si>
  <si>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</si>
  <si>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</si>
  <si>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</si>
  <si>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</si>
  <si>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</si>
  <si>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</si>
  <si>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</si>
  <si>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</si>
  <si>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</si>
  <si>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</si>
  <si>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</si>
  <si>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</si>
  <si>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</si>
  <si>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</si>
  <si>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</si>
  <si>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</si>
  <si>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</si>
  <si>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</si>
  <si>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</si>
  <si>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</si>
  <si>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</si>
  <si>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</si>
  <si>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</si>
  <si>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</si>
  <si>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</si>
  <si>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</si>
  <si>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</si>
  <si>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</si>
  <si>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</si>
  <si>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</si>
  <si>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</si>
  <si>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</si>
  <si>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</si>
  <si>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</si>
  <si>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</si>
  <si>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</si>
  <si>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</si>
  <si>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</si>
  <si>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</si>
  <si>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</si>
  <si>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</si>
  <si>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</si>
  <si>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</si>
  <si>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</si>
  <si>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</si>
  <si>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</si>
  <si>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</si>
  <si>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</si>
  <si>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</si>
  <si>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</si>
  <si>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</si>
  <si>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</si>
  <si>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</si>
  <si>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</si>
  <si>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</si>
  <si>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</si>
  <si>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</si>
  <si>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</si>
  <si>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</si>
  <si>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</si>
  <si>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</si>
  <si>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</si>
  <si>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</si>
  <si>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</si>
  <si>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</si>
  <si>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</si>
  <si>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</si>
  <si>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</si>
  <si>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</si>
  <si>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</si>
  <si>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</si>
  <si>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</si>
  <si>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</si>
  <si>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</si>
  <si>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</si>
  <si>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</si>
  <si>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</si>
  <si>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</si>
  <si>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</si>
  <si>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</si>
  <si>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</si>
  <si>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</si>
  <si>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</si>
  <si>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</si>
  <si>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</si>
  <si>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</si>
  <si>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</si>
  <si>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</si>
  <si>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</si>
  <si>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</si>
  <si>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</si>
  <si>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</si>
  <si>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</si>
  <si>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</si>
  <si>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</si>
  <si>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</si>
  <si>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</si>
  <si>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</si>
  <si>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</si>
  <si>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</si>
  <si>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</si>
  <si>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</si>
  <si>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</si>
  <si>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</si>
  <si>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</si>
  <si>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</si>
  <si>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</si>
  <si>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</si>
  <si>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</si>
  <si>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</si>
  <si>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</si>
  <si>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</si>
  <si>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</si>
  <si>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</si>
  <si>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</si>
  <si>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</si>
  <si>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</si>
  <si>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</si>
  <si>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</si>
  <si>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</si>
  <si>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</si>
  <si>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</si>
  <si>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</si>
  <si>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</si>
  <si>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</si>
  <si>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</si>
  <si>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</si>
  <si>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</si>
  <si>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</si>
  <si>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</si>
  <si>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</si>
  <si>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</si>
  <si>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</si>
  <si>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</si>
  <si>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</si>
  <si>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</si>
  <si>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</si>
  <si>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</si>
  <si>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</si>
  <si>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</si>
  <si>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</si>
  <si>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</si>
  <si>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</si>
  <si>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</si>
  <si>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</si>
  <si>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</si>
  <si>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</si>
  <si>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</si>
  <si>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</si>
  <si>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</si>
  <si>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</si>
  <si>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</si>
  <si>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</si>
  <si>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</si>
  <si>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</si>
  <si>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</si>
  <si>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</si>
  <si>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</si>
  <si>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</si>
  <si>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</si>
  <si>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</si>
  <si>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</si>
  <si>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</si>
  <si>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</si>
  <si>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</si>
  <si>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</si>
  <si>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</si>
  <si>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</si>
  <si>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</si>
  <si>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</si>
  <si>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</si>
  <si>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</si>
  <si>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</si>
  <si>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</si>
  <si>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</si>
  <si>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</si>
  <si>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</si>
  <si>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</si>
  <si>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</si>
  <si>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</si>
  <si>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</si>
  <si>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</si>
  <si>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</si>
  <si>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</si>
  <si>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</si>
  <si>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</si>
  <si>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</si>
  <si>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</si>
  <si>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</si>
  <si>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</si>
  <si>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</si>
  <si>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</si>
  <si>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</si>
  <si>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</si>
  <si>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</si>
  <si>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</si>
  <si>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</si>
  <si>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</si>
  <si>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</si>
  <si>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</si>
  <si>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</si>
  <si>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</si>
  <si>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</si>
  <si>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</si>
  <si>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</si>
  <si>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</si>
  <si>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</si>
  <si>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</si>
  <si>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</si>
  <si>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</si>
  <si>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0005.HK</t>
  </si>
  <si>
    <t>HSBC</t>
  </si>
  <si>
    <t>C0014</t>
  </si>
  <si>
    <t>USD</t>
  </si>
  <si>
    <t>Dividend</t>
  </si>
  <si>
    <t>D/P Dividend Yield</t>
    <phoneticPr fontId="20" type="noConversion"/>
  </si>
  <si>
    <t>UK Tax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</si>
</sst>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6" sqref="D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0005.HK</v>
      </c>
      <c r="D3" s="246"/>
      <c r="E3" s="87"/>
      <c r="F3" s="3" t="s">
        <v>1</v>
      </c>
      <c r="G3" s="133">
        <v>71.349998474121094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HSBC</v>
      </c>
      <c r="D4" s="248"/>
      <c r="E4" s="87"/>
      <c r="F4" s="3" t="s">
        <v>3</v>
      </c>
      <c r="G4" s="251">
        <f>Inputs!C10</f>
        <v>18208334222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1299164.6189559868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7.7829999923706055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3.237354486453075E-2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0.27531678170392498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0.55863466227121317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6.1613060834322234E-2</v>
      </c>
    </row>
    <row r="25" spans="1:8" ht="15.75" customHeight="1" x14ac:dyDescent="0.4">
      <c r="B25" s="138" t="s">
        <v>208</v>
      </c>
      <c r="C25" s="177">
        <f>Fin_Analysis!I82</f>
        <v>1.8260018543319254E-2</v>
      </c>
      <c r="F25" s="141" t="s">
        <v>188</v>
      </c>
      <c r="G25" s="177">
        <f>Fin_Analysis!I88</f>
        <v>1.0799660732994578</v>
      </c>
    </row>
    <row r="26" spans="1:8" ht="15.75" customHeight="1" x14ac:dyDescent="0.4">
      <c r="B26" s="139" t="s">
        <v>187</v>
      </c>
      <c r="C26" s="177">
        <f>Fin_Analysis!I83</f>
        <v>0.11541499261701178</v>
      </c>
      <c r="F26" s="142" t="s">
        <v>210</v>
      </c>
      <c r="G26" s="184">
        <f>Fin_Analysis!H88*Exchange_Rate/G3</f>
        <v>6.6540015373203587E-2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49.354811705796756</v>
      </c>
      <c r="D29" s="130">
        <f>IF(Fin_Analysis!C108="Profit",Fin_Analysis!I100,IF(Fin_Analysis!C108="Dividend",Fin_Analysis!I103,Fin_Analysis!I106))</f>
        <v>90.145217451755059</v>
      </c>
      <c r="E29" s="87"/>
      <c r="F29" s="132">
        <f>IF(Fin_Analysis!C108="Profit",Fin_Analysis!F100,IF(Fin_Analysis!C108="Dividend",Fin_Analysis!F103,Fin_Analysis!F106))</f>
        <v>72.116173961404044</v>
      </c>
      <c r="G29" s="242">
        <f>IF(Fin_Analysis!C108="Profit",Fin_Analysis!H100,IF(Fin_Analysis!C108="Dividend",Fin_Analysis!H103,Fin_Analysis!H106))</f>
        <v>72.116173961404044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D21" sqref="D21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E4" s="240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244</v>
      </c>
      <c r="E5" s="231">
        <f>C18</f>
        <v>45291</v>
      </c>
      <c r="F5" s="232">
        <v>0.82000000000000006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v>0.6100000000000001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18208334222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  <c r="D16" s="24" t="s">
        <v>249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116484</v>
      </c>
      <c r="D19" s="152">
        <v>67950</v>
      </c>
      <c r="E19" s="152">
        <v>52976</v>
      </c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3771</v>
      </c>
      <c r="D20" s="153">
        <v>3354</v>
      </c>
      <c r="E20" s="153">
        <v>3691</v>
      </c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32070</v>
      </c>
      <c r="D21" s="153">
        <v>32701</v>
      </c>
      <c r="E21" s="153">
        <v>34620</v>
      </c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65072</v>
      </c>
      <c r="D26" s="153">
        <v>22449</v>
      </c>
      <c r="E26" s="153">
        <v>9699</v>
      </c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2127</v>
      </c>
      <c r="D27" s="153">
        <v>1822</v>
      </c>
      <c r="E27" s="153">
        <v>2079</v>
      </c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0.9</v>
      </c>
    </row>
    <row r="41" spans="2:13" ht="13.9" x14ac:dyDescent="0.4">
      <c r="B41" s="1" t="s">
        <v>146</v>
      </c>
      <c r="C41" s="59"/>
      <c r="D41" s="60">
        <v>0.8</v>
      </c>
    </row>
    <row r="42" spans="2:13" ht="13.9" x14ac:dyDescent="0.4">
      <c r="B42" s="3" t="s">
        <v>121</v>
      </c>
      <c r="C42" s="59"/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/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/>
      <c r="D60" s="60">
        <f>D57</f>
        <v>0.1</v>
      </c>
    </row>
    <row r="61" spans="2:4" ht="13.9" x14ac:dyDescent="0.4">
      <c r="B61" s="3" t="s">
        <v>73</v>
      </c>
      <c r="C61" s="59"/>
      <c r="D61" s="60">
        <f>D62</f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disablePrompts="1"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12790.607843137255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116484</v>
      </c>
      <c r="D6" s="209">
        <f>IF(Inputs!D19="","",Inputs!D19)</f>
        <v>67950</v>
      </c>
      <c r="E6" s="209">
        <f>IF(Inputs!E19="","",Inputs!E19)</f>
        <v>52976</v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3771</v>
      </c>
      <c r="D8" s="208">
        <f>IF(Inputs!D20="","",Inputs!D20)</f>
        <v>3354</v>
      </c>
      <c r="E8" s="208">
        <f>IF(Inputs!E20="","",Inputs!E20)</f>
        <v>3691</v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112713</v>
      </c>
      <c r="D9" s="154">
        <f t="shared" si="2"/>
        <v>64596</v>
      </c>
      <c r="E9" s="154">
        <f t="shared" si="2"/>
        <v>49285</v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32070</v>
      </c>
      <c r="D10" s="208">
        <f>IF(Inputs!D21="","",Inputs!D21)</f>
        <v>32701</v>
      </c>
      <c r="E10" s="208">
        <f>IF(Inputs!E21="","",Inputs!E21)</f>
        <v>34620</v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80643</v>
      </c>
      <c r="D13" s="154">
        <f t="shared" ref="D13:M13" si="4">IF(D6="","",(D9-D10+MAX(D12,0)))</f>
        <v>31895</v>
      </c>
      <c r="E13" s="154">
        <f t="shared" si="4"/>
        <v>14665</v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65072</v>
      </c>
      <c r="D17" s="208">
        <f>IF(Inputs!D26="","",Inputs!D26)</f>
        <v>22449</v>
      </c>
      <c r="E17" s="208">
        <f>IF(Inputs!E26="","",Inputs!E26)</f>
        <v>9699</v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2127</v>
      </c>
      <c r="D18" s="208">
        <f>IF(Inputs!D27="","",Inputs!D27)</f>
        <v>1822</v>
      </c>
      <c r="E18" s="208">
        <f>IF(Inputs!E27="","",Inputs!E27)</f>
        <v>2079</v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12790.607843137255</v>
      </c>
      <c r="D19" s="237">
        <f>IF(D6="","",D9-D10-MAX(D17,0)-MAX(D18,0)/(1-Fin_Analysis!$I$84))</f>
        <v>7064.3006535947716</v>
      </c>
      <c r="E19" s="237">
        <f>IF(E6="","",E9-E10-MAX(E17,0)-MAX(E18,0)/(1-Fin_Analysis!$I$84))</f>
        <v>2248.3529411764707</v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0.81059788793510212</v>
      </c>
      <c r="D20" s="238">
        <f t="shared" ref="D20:M20" si="5">IF(E19="","",IF(ABS(D19+E19)=ABS(D19)+ABS(E19),IF(D19&lt;0,-1,1)*(D19-E19)/E19,"Turn"))</f>
        <v>2.1419891976116143</v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12790.607843137255</v>
      </c>
      <c r="D21" s="77">
        <f>IF(D6="","",D13-MAX(D14,0)-MAX(D15,0)-MAX(D16,0)-MAX(D17,0)-MAX(D18,0)/(1-Fin_Analysis!$I$84))</f>
        <v>7064.3006535947716</v>
      </c>
      <c r="E21" s="77">
        <f>IF(E6="","",E13-MAX(E14,0)-MAX(E15,0)-MAX(E16,0)-MAX(E17,0)-MAX(E18,0)/(1-Fin_Analysis!$I$84))</f>
        <v>2248.3529411764707</v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0.81059788793510212</v>
      </c>
      <c r="D22" s="156">
        <f t="shared" ref="D22:M22" si="6">IF(E21="","",IF(ABS(D21+E21)=ABS(D21)+ABS(E21),IF(D21&lt;0,-1,1)*(D21-E21)/E21,"Turn"))</f>
        <v>2.1419891976116143</v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8.4001364994333985E-2</v>
      </c>
      <c r="D23" s="157">
        <f t="shared" si="7"/>
        <v>7.9531861662987494E-2</v>
      </c>
      <c r="E23" s="157">
        <f t="shared" si="7"/>
        <v>3.2467343702808821E-2</v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9784.8150000000005</v>
      </c>
      <c r="D24" s="77">
        <f>IF(D6="","",D21*(1-Fin_Analysis!$I$84))</f>
        <v>5404.1900000000005</v>
      </c>
      <c r="E24" s="77">
        <f>IF(E6="","",E21*(1-Fin_Analysis!$I$84))</f>
        <v>1719.9900000000002</v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0.81059788793510212</v>
      </c>
      <c r="D25" s="159">
        <f t="shared" ref="D25:M25" si="8">IF(E24="","",IF(ABS(D24+E24)=ABS(D24)+ABS(E24),IF(D24&lt;0,-1,1)*(D24-E24)/E24,"Turn"))</f>
        <v>2.1419891976116139</v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3.237354486453075E-2</v>
      </c>
      <c r="D42" s="161">
        <f t="shared" si="33"/>
        <v>4.9359823399558501E-2</v>
      </c>
      <c r="E42" s="161">
        <f t="shared" si="33"/>
        <v>6.9673059498640888E-2</v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0.27531678170392498</v>
      </c>
      <c r="D43" s="157">
        <f t="shared" ref="D43:M43" si="34">IF(D6="","",(D10-MAX(D12,0))/D6)</f>
        <v>0.48125091979396617</v>
      </c>
      <c r="E43" s="157">
        <f t="shared" si="34"/>
        <v>0.65350347327091518</v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>
        <f t="shared" si="35"/>
        <v>0</v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0.55863466227121317</v>
      </c>
      <c r="D46" s="157">
        <f t="shared" ref="D46:M46" si="37">IF(D6="","",MAX(D17,0)/D6)</f>
        <v>0.33037527593818983</v>
      </c>
      <c r="E46" s="157">
        <f t="shared" si="37"/>
        <v>0.18308290546662639</v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2.3869305285384647E-2</v>
      </c>
      <c r="D47" s="157">
        <f>IF(D6="","",MAX(D18,0)/(1-Fin_Analysis!$I$84)/D6)</f>
        <v>3.5050763008171136E-2</v>
      </c>
      <c r="E47" s="157">
        <f>IF(E6="","",MAX(E18,0)/(1-Fin_Analysis!$I$84)/E6)</f>
        <v>5.1299589603283173E-2</v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0.1098057058749464</v>
      </c>
      <c r="D48" s="157">
        <f t="shared" si="38"/>
        <v>0.10396321786011437</v>
      </c>
      <c r="E48" s="157">
        <f t="shared" si="38"/>
        <v>4.2440972160534406E-2</v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5.0874830030000568</v>
      </c>
      <c r="D55" s="157">
        <f t="shared" ref="D55:M55" si="43">IF(D21="","",IF(MAX(D17,0)&lt;=0,"-",D17/D21))</f>
        <v>3.1778092554110788</v>
      </c>
      <c r="E55" s="157">
        <f t="shared" si="43"/>
        <v>4.3138244989796446</v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61" zoomScaleNormal="100" workbookViewId="0">
      <selection activeCell="H89" sqref="H8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116484</v>
      </c>
      <c r="D74" s="218"/>
      <c r="E74" s="205">
        <f>H74</f>
        <v>116484</v>
      </c>
      <c r="F74" s="218"/>
      <c r="H74" s="205">
        <f>C74</f>
        <v>116484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3771</v>
      </c>
      <c r="D75" s="164">
        <f>C75/$C$74</f>
        <v>3.237354486453075E-2</v>
      </c>
      <c r="E75" s="186">
        <f>E74*F75</f>
        <v>3771</v>
      </c>
      <c r="F75" s="165">
        <f>I75</f>
        <v>3.237354486453075E-2</v>
      </c>
      <c r="H75" s="205">
        <f>D75*H74</f>
        <v>3771</v>
      </c>
      <c r="I75" s="165">
        <f>H75/$H$74</f>
        <v>3.237354486453075E-2</v>
      </c>
      <c r="K75" s="24"/>
    </row>
    <row r="76" spans="1:11" ht="15" customHeight="1" x14ac:dyDescent="0.4">
      <c r="B76" s="35" t="s">
        <v>96</v>
      </c>
      <c r="C76" s="166">
        <f>C74-C75</f>
        <v>112713</v>
      </c>
      <c r="D76" s="219"/>
      <c r="E76" s="167">
        <f>E74-E75</f>
        <v>112713</v>
      </c>
      <c r="F76" s="219"/>
      <c r="H76" s="167">
        <f>H74-H75</f>
        <v>112713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32070</v>
      </c>
      <c r="D77" s="164">
        <f>C77/$C$74</f>
        <v>0.27531678170392498</v>
      </c>
      <c r="E77" s="186">
        <f>E74*F77</f>
        <v>32069.999999999996</v>
      </c>
      <c r="F77" s="165">
        <f>I77</f>
        <v>0.27531678170392498</v>
      </c>
      <c r="H77" s="205">
        <f>D77*H74</f>
        <v>32069.999999999996</v>
      </c>
      <c r="I77" s="165">
        <f>H77/$H$74</f>
        <v>0.27531678170392498</v>
      </c>
      <c r="K77" s="24"/>
    </row>
    <row r="78" spans="1:11" ht="15" customHeight="1" x14ac:dyDescent="0.4">
      <c r="B78" s="35" t="s">
        <v>97</v>
      </c>
      <c r="C78" s="166">
        <f>C76-C77</f>
        <v>80643</v>
      </c>
      <c r="D78" s="219"/>
      <c r="E78" s="167">
        <f>E76-E77</f>
        <v>80643</v>
      </c>
      <c r="F78" s="219"/>
      <c r="H78" s="167">
        <f>H76-H77</f>
        <v>80643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65072</v>
      </c>
      <c r="D79" s="164">
        <f>C79/$C$74</f>
        <v>0.55863466227121317</v>
      </c>
      <c r="E79" s="186">
        <f>E74*F79</f>
        <v>65071.999999999993</v>
      </c>
      <c r="F79" s="165">
        <f t="shared" ref="F79:F84" si="8">I79</f>
        <v>0.55863466227121317</v>
      </c>
      <c r="H79" s="205">
        <f>C79</f>
        <v>65072</v>
      </c>
      <c r="I79" s="165">
        <f>H79/$H$74</f>
        <v>0.55863466227121317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2127</v>
      </c>
      <c r="D82" s="164">
        <f>C82/$C$74</f>
        <v>1.8260018543319254E-2</v>
      </c>
      <c r="E82" s="186">
        <f>E74*F82</f>
        <v>2127</v>
      </c>
      <c r="F82" s="165">
        <f t="shared" si="8"/>
        <v>1.8260018543319254E-2</v>
      </c>
      <c r="H82" s="205">
        <f>H74*D82</f>
        <v>2127</v>
      </c>
      <c r="I82" s="165">
        <f>H82/$H$74</f>
        <v>1.8260018543319254E-2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13444</v>
      </c>
      <c r="D83" s="169">
        <f>C83/$C$74</f>
        <v>0.11541499261701178</v>
      </c>
      <c r="E83" s="170">
        <f>E78-E79-E80-E81-E82</f>
        <v>13444.000000000007</v>
      </c>
      <c r="F83" s="169">
        <f>E83/E74</f>
        <v>0.11541499261701184</v>
      </c>
      <c r="H83" s="170">
        <f>H78-H79-H80-H81-H82</f>
        <v>13444</v>
      </c>
      <c r="I83" s="169">
        <f>H83/$H$74</f>
        <v>0.11541499261701178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10284.66</v>
      </c>
      <c r="D85" s="171">
        <f>C85/$C$74</f>
        <v>8.8292469352014014E-2</v>
      </c>
      <c r="E85" s="172">
        <f>E83*(1-F84)</f>
        <v>10284.660000000005</v>
      </c>
      <c r="F85" s="171">
        <f>E85/E74</f>
        <v>8.8292469352014055E-2</v>
      </c>
      <c r="H85" s="172">
        <f>H83*(1-I84)</f>
        <v>10284.66</v>
      </c>
      <c r="I85" s="171">
        <f>H85/$H$74</f>
        <v>8.8292469352014014E-2</v>
      </c>
      <c r="K85" s="24"/>
    </row>
    <row r="86" spans="1:11" ht="15" customHeight="1" x14ac:dyDescent="0.4">
      <c r="B86" s="87" t="s">
        <v>172</v>
      </c>
      <c r="C86" s="173">
        <f>C85*Data!C4/Common_Shares</f>
        <v>0.56483255824542611</v>
      </c>
      <c r="D86" s="218"/>
      <c r="E86" s="174">
        <f>E85*Data!C4/Common_Shares</f>
        <v>0.56483255824542644</v>
      </c>
      <c r="F86" s="218"/>
      <c r="H86" s="174">
        <f>H85*Data!C4/Common_Shares</f>
        <v>0.56483255824542611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6.1613060834322234E-2</v>
      </c>
      <c r="D87" s="218"/>
      <c r="E87" s="239">
        <f>E86*Exchange_Rate/Dashboard!G3</f>
        <v>6.1613060834322254E-2</v>
      </c>
      <c r="F87" s="218"/>
      <c r="H87" s="239">
        <f>H86*Exchange_Rate/Dashboard!G3</f>
        <v>6.1613060834322234E-2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0.82000000000000006</v>
      </c>
      <c r="D88" s="171">
        <f>C88/C86</f>
        <v>1.451757672304189</v>
      </c>
      <c r="E88" s="204">
        <f>H88</f>
        <v>0.6100000000000001</v>
      </c>
      <c r="F88" s="171">
        <f>E88/E86</f>
        <v>1.0799660732994572</v>
      </c>
      <c r="H88" s="176">
        <f>Inputs!F6</f>
        <v>0.6100000000000001</v>
      </c>
      <c r="I88" s="171">
        <f>H88/H86</f>
        <v>1.0799660732994578</v>
      </c>
      <c r="K88" s="24"/>
    </row>
    <row r="89" spans="1:11" ht="15" customHeight="1" x14ac:dyDescent="0.4">
      <c r="B89" s="87" t="s">
        <v>248</v>
      </c>
      <c r="C89" s="165">
        <f>C88*Exchange_Rate/Dashboard!G3</f>
        <v>8.9447233780372032E-2</v>
      </c>
      <c r="D89" s="218"/>
      <c r="E89" s="165">
        <f>E88*Exchange_Rate/Dashboard!G3</f>
        <v>6.6540015373203587E-2</v>
      </c>
      <c r="F89" s="218"/>
      <c r="H89" s="165">
        <f>H88*Exchange_Rate/Dashboard!G3</f>
        <v>6.6540015373203587E-2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11.540033023917925</v>
      </c>
      <c r="H93" s="87" t="s">
        <v>229</v>
      </c>
      <c r="I93" s="146">
        <f>FV(H87,D93,0,-(H86/C93))</f>
        <v>11.540033023917918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12.754741791015594</v>
      </c>
      <c r="H94" s="87" t="s">
        <v>230</v>
      </c>
      <c r="I94" s="146">
        <f>FV(H89,D93,0,-(H88/C93))</f>
        <v>12.754741791015594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1188059.7278170132</v>
      </c>
      <c r="E97" s="124">
        <f>PV(C94,D93,0,-F93)*Exchange_Rate</f>
        <v>44.654463908892247</v>
      </c>
      <c r="F97" s="124">
        <f>PV(C93,D93,0,-F93)*Exchange_Rate</f>
        <v>65.248128320357566</v>
      </c>
      <c r="H97" s="124">
        <f>PV(C93,D93,0,-I93)*Exchange_Rate</f>
        <v>65.248128320357523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1188059.7278170132</v>
      </c>
      <c r="E100" s="110">
        <f>MAX(E97-H98+F99,0)</f>
        <v>44.654463908892247</v>
      </c>
      <c r="F100" s="110">
        <f>MAX(F97-H98+F99,0)</f>
        <v>65.248128320357566</v>
      </c>
      <c r="H100" s="110">
        <f>MAX(C100*Data!$C$4/Common_Shares,0)</f>
        <v>65.248128320357523</v>
      </c>
      <c r="I100" s="110">
        <f>H100*1.25</f>
        <v>81.560160400446904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1313115.3983011388</v>
      </c>
      <c r="E103" s="110">
        <f>PV(C94,D93,0,-F94)*Exchange_Rate</f>
        <v>49.354811705796756</v>
      </c>
      <c r="F103" s="124">
        <f>PV(C93,D93,0,-F94)*Exchange_Rate</f>
        <v>72.116173961404044</v>
      </c>
      <c r="H103" s="124">
        <f>PV(C93,D93,0,-I94)*Exchange_Rate</f>
        <v>72.116173961404044</v>
      </c>
      <c r="I103" s="110">
        <f>H103*1.25</f>
        <v>90.145217451755059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1250587.5630590764</v>
      </c>
      <c r="E106" s="110">
        <f>(E100+E103)/2</f>
        <v>47.004637807344501</v>
      </c>
      <c r="F106" s="124">
        <f>(F100+F103)/2</f>
        <v>68.682151140880805</v>
      </c>
      <c r="H106" s="124">
        <f>(H100+H103)/2</f>
        <v>68.682151140880791</v>
      </c>
      <c r="I106" s="110">
        <f>H106*1.25</f>
        <v>85.852688926100996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