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2767FEA-BE14-4E55-A9D0-AD84A7272C1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0" i="3" l="1"/>
  <c r="H105" i="3" l="1"/>
  <c r="F105" i="3"/>
  <c r="F4" i="4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l="1"/>
  <c r="C29" i="1"/>
  <c r="F29" i="1"/>
</calcChain>
</file>

<file path=xl/sharedStrings.xml><?xml version="1.0" encoding="utf-8"?>
<sst xmlns="http://schemas.openxmlformats.org/spreadsheetml/2006/main" count="348" uniqueCount="249">
  <si>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</si>
  <si>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</si>
  <si>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</si>
  <si>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</si>
  <si>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</si>
  <si>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</si>
  <si>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</si>
  <si>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</si>
  <si>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</si>
  <si>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</si>
  <si>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</si>
  <si>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</si>
  <si>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</si>
  <si>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</si>
  <si>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</si>
  <si>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</si>
  <si>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</si>
  <si>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</si>
  <si>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</si>
  <si>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</si>
  <si>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</si>
  <si>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</si>
  <si>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</si>
  <si>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</si>
  <si>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</si>
  <si>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</si>
  <si>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</si>
  <si>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</si>
  <si>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</si>
  <si>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</si>
  <si>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</si>
  <si>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</si>
  <si>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</si>
  <si>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</si>
  <si>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</si>
  <si>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</si>
  <si>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</si>
  <si>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</si>
  <si>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</si>
  <si>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</si>
  <si>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</si>
  <si>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</si>
  <si>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</si>
  <si>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</si>
  <si>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</si>
  <si>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</si>
  <si>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</si>
  <si>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</si>
  <si>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</si>
  <si>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</si>
  <si>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</si>
  <si>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</si>
  <si>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</si>
  <si>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</si>
  <si>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</si>
  <si>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</si>
  <si>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</si>
  <si>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</si>
  <si>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</si>
  <si>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</si>
  <si>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</si>
  <si>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</si>
  <si>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</si>
  <si>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</si>
  <si>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</si>
  <si>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</si>
  <si>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</si>
  <si>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</si>
  <si>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</si>
  <si>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</si>
  <si>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</si>
  <si>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</si>
  <si>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</si>
  <si>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</si>
  <si>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</si>
  <si>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</si>
  <si>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</si>
  <si>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</si>
  <si>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</si>
  <si>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</si>
  <si>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</si>
  <si>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</si>
  <si>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</si>
  <si>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</si>
  <si>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</si>
  <si>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</si>
  <si>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</si>
  <si>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</si>
  <si>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</si>
  <si>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</si>
  <si>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</si>
  <si>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</si>
  <si>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</si>
  <si>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</si>
  <si>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</si>
  <si>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</si>
  <si>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</si>
  <si>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</si>
  <si>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</si>
  <si>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</si>
  <si>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</si>
  <si>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</si>
  <si>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</si>
  <si>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</si>
  <si>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</si>
  <si>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</si>
  <si>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</si>
  <si>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</si>
  <si>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</si>
  <si>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</si>
  <si>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</si>
  <si>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</si>
  <si>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</si>
  <si>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</si>
  <si>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</si>
  <si>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</si>
  <si>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</si>
  <si>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</si>
  <si>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</si>
  <si>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</si>
  <si>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</si>
  <si>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</si>
  <si>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</si>
  <si>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</si>
  <si>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</si>
  <si>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</si>
  <si>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</si>
  <si>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</si>
  <si>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</si>
  <si>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</si>
  <si>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</si>
  <si>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</si>
  <si>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</si>
  <si>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</si>
  <si>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</si>
  <si>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</si>
  <si>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</si>
  <si>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</si>
  <si>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</si>
  <si>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</si>
  <si>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</si>
  <si>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</si>
  <si>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</si>
  <si>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</si>
  <si>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</si>
  <si>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</si>
  <si>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</si>
  <si>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</si>
  <si>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</si>
  <si>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</si>
  <si>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</si>
  <si>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</si>
  <si>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</si>
  <si>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</si>
  <si>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</si>
  <si>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</si>
  <si>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</si>
  <si>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</si>
  <si>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</si>
  <si>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</si>
  <si>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</si>
  <si>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</si>
  <si>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</si>
  <si>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</si>
  <si>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</si>
  <si>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</si>
  <si>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</si>
  <si>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</si>
  <si>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</si>
  <si>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</si>
  <si>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</si>
  <si>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</si>
  <si>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</si>
  <si>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</si>
  <si>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</si>
  <si>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</si>
  <si>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</si>
  <si>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</si>
  <si>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</si>
  <si>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</si>
  <si>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</si>
  <si>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</si>
  <si>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</si>
  <si>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</si>
  <si>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</si>
  <si>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</si>
  <si>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</si>
  <si>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</si>
  <si>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</si>
  <si>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</si>
  <si>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</si>
  <si>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</si>
  <si>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</si>
  <si>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</si>
  <si>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</si>
  <si>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</si>
  <si>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</si>
  <si>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</si>
  <si>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</si>
  <si>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</si>
  <si>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</si>
  <si>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</si>
  <si>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</si>
  <si>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</si>
  <si>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</si>
  <si>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</si>
  <si>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</si>
  <si>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</si>
  <si>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</si>
  <si>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</si>
  <si>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</si>
  <si>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</si>
  <si>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</si>
  <si>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</si>
  <si>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</si>
  <si>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</si>
  <si>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</si>
  <si>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</si>
  <si>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</si>
  <si>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</si>
  <si>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</si>
  <si>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</si>
  <si>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</si>
  <si>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</si>
  <si>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</si>
  <si>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</si>
  <si>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</si>
  <si>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</si>
  <si>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</si>
  <si>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</si>
  <si>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</si>
  <si>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</si>
  <si>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</si>
  <si>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</si>
  <si>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</si>
  <si>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</si>
  <si>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</si>
  <si>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</si>
  <si>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</si>
  <si>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</si>
  <si>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</si>
  <si>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</si>
  <si>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</si>
  <si>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</si>
  <si>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D/P Dividend Yield</t>
    <phoneticPr fontId="20" type="noConversion"/>
  </si>
  <si>
    <t>0268.HK</t>
    <phoneticPr fontId="20" type="noConversion"/>
  </si>
  <si>
    <t>金蝶国际</t>
    <phoneticPr fontId="20" type="noConversion"/>
  </si>
  <si>
    <t>C0009</t>
    <phoneticPr fontId="20" type="noConversion"/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</si>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</sst>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4" sqref="G4:H4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0268.HK</v>
      </c>
      <c r="D3" s="247"/>
      <c r="E3" s="87"/>
      <c r="F3" s="3" t="s">
        <v>1</v>
      </c>
      <c r="G3" s="133">
        <v>8.3100004196166992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金蝶国际</v>
      </c>
      <c r="D4" s="249"/>
      <c r="E4" s="87"/>
      <c r="F4" s="3" t="s">
        <v>3</v>
      </c>
      <c r="G4" s="252">
        <f>Inputs!C10</f>
        <v>3585854271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45603</v>
      </c>
      <c r="D5" s="251"/>
      <c r="E5" s="34"/>
      <c r="F5" s="35" t="s">
        <v>102</v>
      </c>
      <c r="G5" s="244">
        <f>G3*G4/1000000</f>
        <v>29798.450496694331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C0009</v>
      </c>
      <c r="E7" s="87"/>
      <c r="F7" s="35" t="s">
        <v>6</v>
      </c>
      <c r="G7" s="134">
        <v>1.0758796532948811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0.35834792051449244</v>
      </c>
      <c r="F20" s="87" t="s">
        <v>230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0.49473021389230248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3.8655956702792868E-3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0.03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1.7386148311362901E-2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</v>
      </c>
    </row>
    <row r="26" spans="1:8" ht="15.75" customHeight="1" x14ac:dyDescent="0.4">
      <c r="B26" s="139" t="s">
        <v>187</v>
      </c>
      <c r="C26" s="177">
        <f>Fin_Analysis!I83</f>
        <v>0.11305626992292581</v>
      </c>
      <c r="F26" s="142" t="s">
        <v>210</v>
      </c>
      <c r="G26" s="184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IF(Fin_Analysis!C108="Profit",Fin_Analysis!E100,IF(Fin_Analysis!C108="Dividend",Fin_Analysis!E103,Fin_Analysis!E106))</f>
        <v>1.0874563401751802</v>
      </c>
      <c r="D29" s="130">
        <f>IF(Fin_Analysis!C108="Profit",Fin_Analysis!I100,IF(Fin_Analysis!C108="Dividend",Fin_Analysis!I103,Fin_Analysis!I106))</f>
        <v>1.9312438673108239</v>
      </c>
      <c r="E29" s="87"/>
      <c r="F29" s="132">
        <f>IF(Fin_Analysis!C108="Profit",Fin_Analysis!F100,IF(Fin_Analysis!C108="Dividend",Fin_Analysis!F103,Fin_Analysis!F106))</f>
        <v>1.5449950938486592</v>
      </c>
      <c r="G29" s="243">
        <f>IF(Fin_Analysis!C108="Profit",Fin_Analysis!H100,IF(Fin_Analysis!C108="Dividend",Fin_Analysis!H103,Fin_Analysis!H106))</f>
        <v>1.5449950938486592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6" sqref="F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234</v>
      </c>
    </row>
    <row r="4" spans="1:6" ht="13.9" x14ac:dyDescent="0.4">
      <c r="B4" s="142" t="s">
        <v>211</v>
      </c>
      <c r="C4" s="195" t="s">
        <v>245</v>
      </c>
      <c r="E4" s="240" t="s">
        <v>226</v>
      </c>
      <c r="F4" s="12" t="str">
        <f>C11</f>
        <v>CNY</v>
      </c>
    </row>
    <row r="5" spans="1:6" ht="15" x14ac:dyDescent="0.5">
      <c r="B5" s="142" t="s">
        <v>212</v>
      </c>
      <c r="C5" s="241" t="s">
        <v>246</v>
      </c>
      <c r="E5" s="231">
        <f>C18</f>
        <v>45291</v>
      </c>
      <c r="F5" s="232">
        <v>0</v>
      </c>
    </row>
    <row r="6" spans="1:6" ht="13.9" x14ac:dyDescent="0.4">
      <c r="B6" s="142" t="s">
        <v>175</v>
      </c>
      <c r="C6" s="196">
        <v>45603</v>
      </c>
      <c r="E6" s="233" t="s">
        <v>224</v>
      </c>
      <c r="F6" s="232">
        <f>F5</f>
        <v>0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235</v>
      </c>
      <c r="C8" s="198" t="s">
        <v>71</v>
      </c>
    </row>
    <row r="9" spans="1:6" ht="13.9" x14ac:dyDescent="0.4">
      <c r="B9" s="141" t="s">
        <v>236</v>
      </c>
      <c r="C9" s="199" t="s">
        <v>247</v>
      </c>
    </row>
    <row r="10" spans="1:6" ht="13.9" x14ac:dyDescent="0.4">
      <c r="B10" s="141" t="s">
        <v>237</v>
      </c>
      <c r="C10" s="200">
        <v>3585854271</v>
      </c>
    </row>
    <row r="11" spans="1:6" ht="13.9" x14ac:dyDescent="0.4">
      <c r="B11" s="141" t="s">
        <v>238</v>
      </c>
      <c r="C11" s="199" t="s">
        <v>242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240</v>
      </c>
      <c r="C14" s="228">
        <v>45473</v>
      </c>
    </row>
    <row r="15" spans="1:6" ht="13.9" x14ac:dyDescent="0.4">
      <c r="B15" s="227" t="s">
        <v>239</v>
      </c>
      <c r="C15" s="182" t="s">
        <v>243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5679073</v>
      </c>
      <c r="D19" s="152">
        <v>4865769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2035084</v>
      </c>
      <c r="D20" s="153">
        <v>1868136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2809609</v>
      </c>
      <c r="D21" s="153">
        <v>2530441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>
        <v>1439671</v>
      </c>
      <c r="D23" s="153">
        <v>1295476</v>
      </c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21953</v>
      </c>
      <c r="D26" s="153">
        <v>7661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-59916</v>
      </c>
      <c r="D27" s="153">
        <v>-63246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241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812427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5679073</v>
      </c>
      <c r="D6" s="209">
        <f>IF(Inputs!D19="","",Inputs!D19)</f>
        <v>4865769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0.1671480910828278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2035084</v>
      </c>
      <c r="D8" s="208">
        <f>IF(Inputs!D20="","",Inputs!D20)</f>
        <v>1868136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3643989</v>
      </c>
      <c r="D9" s="154">
        <f t="shared" si="2"/>
        <v>2997633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2809609</v>
      </c>
      <c r="D10" s="208">
        <f>IF(Inputs!D21="","",Inputs!D21)</f>
        <v>2530441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834380</v>
      </c>
      <c r="D13" s="154">
        <f t="shared" ref="D13:M13" si="4">IF(D6="","",(D9-D10+MAX(D12,0)))</f>
        <v>467192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>
        <f>IF(Inputs!C23="","",Inputs!C23)</f>
        <v>1439671</v>
      </c>
      <c r="D14" s="208">
        <f>IF(Inputs!D23="","",Inputs!D23)</f>
        <v>1295476</v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21953</v>
      </c>
      <c r="D17" s="208">
        <f>IF(Inputs!D26="","",Inputs!D26)</f>
        <v>7661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-59916</v>
      </c>
      <c r="D18" s="208">
        <f>IF(Inputs!D27="","",Inputs!D27)</f>
        <v>-63246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812427</v>
      </c>
      <c r="D19" s="237">
        <f>IF(D6="","",D9-D10-MAX(D17,0)-MAX(D18,0)/(1-Fin_Analysis!$I$84))</f>
        <v>459531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0.76794819065525499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-627244</v>
      </c>
      <c r="D21" s="77">
        <f>IF(D6="","",D13-MAX(D14,0)-MAX(D15,0)-MAX(D16,0)-MAX(D17,0)-MAX(D18,0)/(1-Fin_Analysis!$I$84))</f>
        <v>-835945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0.24965876941664822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-8.2836230490433913E-2</v>
      </c>
      <c r="D23" s="157">
        <f t="shared" si="7"/>
        <v>-0.12885090722555881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-470433</v>
      </c>
      <c r="D24" s="77">
        <f>IF(D6="","",D21*(1-Fin_Analysis!$I$84))</f>
        <v>-626958.75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0.24965876941664822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0.35834792051449244</v>
      </c>
      <c r="D42" s="161">
        <f t="shared" si="33"/>
        <v>0.38393437912897221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0.49473021389230248</v>
      </c>
      <c r="D43" s="157">
        <f t="shared" ref="D43:M43" si="34">IF(D6="","",(D10-MAX(D12,0))/D6)</f>
        <v>0.5200495543458804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0.25350457724350434</v>
      </c>
      <c r="D44" s="157">
        <f t="shared" ref="D44:M44" si="35">IF(D6="","",(MAX(D14,0)+MAX(D15,0))/D6)</f>
        <v>0.26624280766308472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3.8655956702792868E-3</v>
      </c>
      <c r="D46" s="157">
        <f t="shared" ref="D46:M46" si="37">IF(D6="","",MAX(D17,0)/D6)</f>
        <v>1.5744684961411033E-3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-0.11044830732057855</v>
      </c>
      <c r="D48" s="157">
        <f t="shared" si="38"/>
        <v>-0.17180120963407838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-3.4999139091007644E-2</v>
      </c>
      <c r="D55" s="157">
        <f t="shared" ref="D55:M55" si="43">IF(D21="","",IF(MAX(D17,0)&lt;=0,"-",D17/D21))</f>
        <v>-9.1644785243048289E-3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81" sqref="H81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225</v>
      </c>
      <c r="F72" s="254"/>
      <c r="H72" s="254" t="s">
        <v>224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5679073</v>
      </c>
      <c r="D74" s="218"/>
      <c r="E74" s="205">
        <f>H74</f>
        <v>5679073</v>
      </c>
      <c r="F74" s="218"/>
      <c r="H74" s="205">
        <f>C74</f>
        <v>5679073</v>
      </c>
      <c r="I74" s="218"/>
      <c r="K74" s="24"/>
    </row>
    <row r="75" spans="1:11" ht="15" customHeight="1" x14ac:dyDescent="0.4">
      <c r="B75" s="105" t="s">
        <v>109</v>
      </c>
      <c r="C75" s="77">
        <f>Data!C8</f>
        <v>2035084</v>
      </c>
      <c r="D75" s="164">
        <f>C75/$C$74</f>
        <v>0.35834792051449244</v>
      </c>
      <c r="E75" s="186">
        <f>E74*F75</f>
        <v>2035084</v>
      </c>
      <c r="F75" s="165">
        <f>I75</f>
        <v>0.35834792051449244</v>
      </c>
      <c r="H75" s="205">
        <f>D75*H74</f>
        <v>2035084</v>
      </c>
      <c r="I75" s="165">
        <f>H75/$H$74</f>
        <v>0.35834792051449244</v>
      </c>
      <c r="K75" s="24"/>
    </row>
    <row r="76" spans="1:11" ht="15" customHeight="1" x14ac:dyDescent="0.4">
      <c r="B76" s="35" t="s">
        <v>96</v>
      </c>
      <c r="C76" s="166">
        <f>C74-C75</f>
        <v>3643989</v>
      </c>
      <c r="D76" s="219"/>
      <c r="E76" s="167">
        <f>E74-E75</f>
        <v>3643989</v>
      </c>
      <c r="F76" s="219"/>
      <c r="H76" s="167">
        <f>H74-H75</f>
        <v>3643989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2809609</v>
      </c>
      <c r="D77" s="164">
        <f>C77/$C$74</f>
        <v>0.49473021389230248</v>
      </c>
      <c r="E77" s="186">
        <f>E74*F77</f>
        <v>2809609</v>
      </c>
      <c r="F77" s="165">
        <f>I77</f>
        <v>0.49473021389230248</v>
      </c>
      <c r="H77" s="205">
        <f>D77*H74</f>
        <v>2809609</v>
      </c>
      <c r="I77" s="165">
        <f>H77/$H$74</f>
        <v>0.49473021389230248</v>
      </c>
      <c r="K77" s="24"/>
    </row>
    <row r="78" spans="1:11" ht="15" customHeight="1" x14ac:dyDescent="0.4">
      <c r="B78" s="35" t="s">
        <v>97</v>
      </c>
      <c r="C78" s="166">
        <f>C76-C77</f>
        <v>834380</v>
      </c>
      <c r="D78" s="219"/>
      <c r="E78" s="167">
        <f>E76-E77</f>
        <v>834380</v>
      </c>
      <c r="F78" s="219"/>
      <c r="H78" s="167">
        <f>H76-H77</f>
        <v>834380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21953</v>
      </c>
      <c r="D79" s="164">
        <f>C79/$C$74</f>
        <v>3.8655956702792868E-3</v>
      </c>
      <c r="E79" s="186">
        <f>E74*F79</f>
        <v>21953</v>
      </c>
      <c r="F79" s="165">
        <f t="shared" ref="F79:F84" si="3">I79</f>
        <v>3.8655956702792868E-3</v>
      </c>
      <c r="H79" s="205">
        <f>C79</f>
        <v>21953</v>
      </c>
      <c r="I79" s="165">
        <f>H79/$H$74</f>
        <v>3.8655956702792868E-3</v>
      </c>
      <c r="K79" s="24"/>
    </row>
    <row r="80" spans="1:11" ht="15" customHeight="1" x14ac:dyDescent="0.4">
      <c r="B80" s="28" t="s">
        <v>135</v>
      </c>
      <c r="C80" s="77">
        <f>MAX(Data!C14,0)+MAX(Data!C15,0)</f>
        <v>1439671</v>
      </c>
      <c r="D80" s="164">
        <f>C80/$C$74</f>
        <v>0.25350457724350434</v>
      </c>
      <c r="E80" s="186">
        <f>E74*F80</f>
        <v>170372.19</v>
      </c>
      <c r="F80" s="165">
        <f t="shared" si="3"/>
        <v>0.03</v>
      </c>
      <c r="H80" s="205">
        <f>H74*3%</f>
        <v>170372.19</v>
      </c>
      <c r="I80" s="165">
        <f>H80/$H$74</f>
        <v>0.03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3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-627244</v>
      </c>
      <c r="D83" s="169">
        <f>C83/$C$74</f>
        <v>-0.11044830732057855</v>
      </c>
      <c r="E83" s="170">
        <f>E78-E79-E80-E81-E82</f>
        <v>642054.81000000006</v>
      </c>
      <c r="F83" s="169">
        <f>E83/E74</f>
        <v>0.11305626992292581</v>
      </c>
      <c r="H83" s="170">
        <f>H78-H79-H80-H81-H82</f>
        <v>642054.81000000006</v>
      </c>
      <c r="I83" s="169">
        <f>H83/$H$74</f>
        <v>0.11305626992292581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-470433</v>
      </c>
      <c r="D85" s="171">
        <f>C85/$C$74</f>
        <v>-8.2836230490433913E-2</v>
      </c>
      <c r="E85" s="172">
        <f>E83*(1-F84)</f>
        <v>481541.10750000004</v>
      </c>
      <c r="F85" s="171">
        <f>E85/E74</f>
        <v>8.4792202442194362E-2</v>
      </c>
      <c r="H85" s="172">
        <f>H83*(1-I84)</f>
        <v>481541.10750000004</v>
      </c>
      <c r="I85" s="171">
        <f>H85/$H$74</f>
        <v>8.4792202442194362E-2</v>
      </c>
      <c r="K85" s="24"/>
    </row>
    <row r="86" spans="1:11" ht="15" customHeight="1" x14ac:dyDescent="0.4">
      <c r="B86" s="87" t="s">
        <v>172</v>
      </c>
      <c r="C86" s="173">
        <f>C85*Data!C4/Common_Shares</f>
        <v>-0.13119133251023296</v>
      </c>
      <c r="D86" s="218"/>
      <c r="E86" s="174">
        <f>E85*Data!C4/Common_Shares</f>
        <v>0.13428909016029561</v>
      </c>
      <c r="F86" s="218"/>
      <c r="H86" s="174">
        <f>H85*Data!C4/Common_Shares</f>
        <v>0.13428909016029561</v>
      </c>
      <c r="I86" s="218"/>
      <c r="K86" s="24"/>
    </row>
    <row r="87" spans="1:11" ht="15" customHeight="1" x14ac:dyDescent="0.4">
      <c r="B87" s="87" t="s">
        <v>227</v>
      </c>
      <c r="C87" s="165">
        <f>C86*Exchange_Rate/Dashboard!G3</f>
        <v>-1.6985087630466487E-2</v>
      </c>
      <c r="D87" s="218"/>
      <c r="E87" s="239">
        <f>E86*Exchange_Rate/Dashboard!G3</f>
        <v>1.7386148311362901E-2</v>
      </c>
      <c r="F87" s="218"/>
      <c r="H87" s="239">
        <f>H86*Exchange_Rate/Dashboard!G3</f>
        <v>1.7386148311362901E-2</v>
      </c>
      <c r="I87" s="218"/>
      <c r="K87" s="24"/>
    </row>
    <row r="88" spans="1:11" ht="15" customHeight="1" x14ac:dyDescent="0.4">
      <c r="B88" s="86" t="s">
        <v>226</v>
      </c>
      <c r="C88" s="175">
        <f>Inputs!F5</f>
        <v>0</v>
      </c>
      <c r="D88" s="171">
        <f>C88/C86</f>
        <v>0</v>
      </c>
      <c r="E88" s="204">
        <f>H88</f>
        <v>0</v>
      </c>
      <c r="F88" s="171">
        <f>E88/E86</f>
        <v>0</v>
      </c>
      <c r="H88" s="176">
        <f>Inputs!F6</f>
        <v>0</v>
      </c>
      <c r="I88" s="171">
        <f>H88/H86</f>
        <v>0</v>
      </c>
      <c r="K88" s="24"/>
    </row>
    <row r="89" spans="1:11" ht="15" customHeight="1" x14ac:dyDescent="0.4">
      <c r="B89" s="87" t="s">
        <v>244</v>
      </c>
      <c r="C89" s="165">
        <f>C88*Exchange_Rate/Dashboard!G3</f>
        <v>0</v>
      </c>
      <c r="D89" s="218"/>
      <c r="E89" s="165">
        <f>E88*Exchange_Rate/Dashboard!G3</f>
        <v>0</v>
      </c>
      <c r="F89" s="218"/>
      <c r="H89" s="165">
        <f>H88*Exchange_Rate/Dashboard!G3</f>
        <v>0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225</v>
      </c>
      <c r="F92" s="254"/>
      <c r="G92" s="87"/>
      <c r="H92" s="254" t="s">
        <v>224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228</v>
      </c>
      <c r="F93" s="146">
        <f>FV(E87,D93,0,-(E86/C93))</f>
        <v>2.0329998055129122</v>
      </c>
      <c r="H93" s="87" t="s">
        <v>228</v>
      </c>
      <c r="I93" s="146">
        <f>FV(H87,D93,0,-(H86/C93))</f>
        <v>2.0329998055129122</v>
      </c>
      <c r="K93" s="24"/>
    </row>
    <row r="94" spans="1:11" ht="15" customHeight="1" x14ac:dyDescent="0.4">
      <c r="B94" s="1" t="s">
        <v>230</v>
      </c>
      <c r="C94" s="188">
        <f>Dashboard!G20</f>
        <v>0.15</v>
      </c>
      <c r="D94" s="147"/>
      <c r="E94" s="87" t="s">
        <v>229</v>
      </c>
      <c r="F94" s="146">
        <f>FV(E89,D93,0,-(E88/C93))</f>
        <v>0</v>
      </c>
      <c r="H94" s="87" t="s">
        <v>229</v>
      </c>
      <c r="I94" s="146">
        <f>FV(H89,D93,0,-(H88/C93))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4">
      <c r="B97" s="1" t="s">
        <v>140</v>
      </c>
      <c r="C97" s="91">
        <f>H97*Common_Shares/Data!C4</f>
        <v>5540127.2559512602</v>
      </c>
      <c r="E97" s="124">
        <f>PV(C94,D93,0,-F93)*Exchange_Rate</f>
        <v>1.0874563401751802</v>
      </c>
      <c r="F97" s="124">
        <f>PV(C93,D93,0,-F93)*Exchange_Rate</f>
        <v>1.5449950938486592</v>
      </c>
      <c r="H97" s="124">
        <f>PV(C93,D93,0,-I93)*Exchange_Rate</f>
        <v>1.5449950938486592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5540127.2559512602</v>
      </c>
      <c r="E100" s="110">
        <f>MAX(E97-H98+F99,0)</f>
        <v>1.0874563401751802</v>
      </c>
      <c r="F100" s="110">
        <f>MAX(F97-H98+F99,0)</f>
        <v>1.5449950938486592</v>
      </c>
      <c r="H100" s="110">
        <f>MAX(C100*Data!$C$4/Common_Shares,0)</f>
        <v>1.5449950938486592</v>
      </c>
      <c r="I100" s="110">
        <f>H100*1.25</f>
        <v>1.9312438673108239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4">
      <c r="B103" s="1" t="s">
        <v>173</v>
      </c>
      <c r="C103" s="91">
        <f>H103*Common_Shares/Data!C4</f>
        <v>0</v>
      </c>
      <c r="E103" s="110">
        <f>PV(C94,D93,0,-F94)*Exchange_Rate</f>
        <v>0</v>
      </c>
      <c r="F103" s="124">
        <f>PV(C93,D93,0,-F94)*Exchange_Rate</f>
        <v>0</v>
      </c>
      <c r="H103" s="124">
        <f>PV(C93,D93,0,-I94)*Exchange_Rate</f>
        <v>0</v>
      </c>
      <c r="I103" s="110">
        <f>H103*1.25</f>
        <v>0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4">
      <c r="B106" s="1" t="s">
        <v>215</v>
      </c>
      <c r="C106" s="91">
        <f>F106*Common_Shares/Data!C4</f>
        <v>2770063.6279756301</v>
      </c>
      <c r="E106" s="110">
        <f>(E100+E103)/2</f>
        <v>0.54372817008759011</v>
      </c>
      <c r="F106" s="124">
        <f>(F100+F103)/2</f>
        <v>0.77249754692432959</v>
      </c>
      <c r="H106" s="124">
        <f>(H100+H103)/2</f>
        <v>0.77249754692432959</v>
      </c>
      <c r="I106" s="110">
        <f>H106*1.25</f>
        <v>0.96562193365541193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