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93619C-2C7E-4D1B-ABC6-10290EA0F0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<sst xmlns="http://schemas.openxmlformats.org/spreadsheetml/2006/main" count="348" uniqueCount="249">
  <si>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</si>
  <si>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</si>
  <si>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</si>
  <si>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</si>
  <si>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</si>
  <si>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</si>
  <si>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</si>
  <si>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</si>
  <si>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</si>
  <si>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</si>
  <si>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</si>
  <si>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</si>
  <si>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</si>
  <si>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</si>
  <si>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</si>
  <si>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</si>
  <si>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</si>
  <si>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</si>
  <si>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</si>
  <si>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</si>
  <si>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</si>
  <si>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</si>
  <si>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</si>
  <si>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</si>
  <si>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</si>
  <si>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</si>
  <si>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</si>
  <si>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</si>
  <si>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</si>
  <si>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</si>
  <si>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</si>
  <si>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</si>
  <si>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</si>
  <si>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</si>
  <si>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</si>
  <si>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</si>
  <si>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</si>
  <si>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</si>
  <si>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</si>
  <si>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</si>
  <si>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</si>
  <si>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</si>
  <si>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</si>
  <si>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</si>
  <si>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</si>
  <si>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</si>
  <si>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</si>
  <si>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</si>
  <si>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</si>
  <si>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</si>
  <si>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</si>
  <si>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</si>
  <si>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</si>
  <si>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</si>
  <si>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</si>
  <si>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</si>
  <si>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</si>
  <si>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</si>
  <si>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</si>
  <si>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</si>
  <si>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</si>
  <si>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</si>
  <si>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</si>
  <si>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</si>
  <si>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</si>
  <si>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</si>
  <si>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</si>
  <si>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</si>
  <si>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</si>
  <si>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</si>
  <si>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</si>
  <si>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</si>
  <si>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</si>
  <si>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</si>
  <si>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</si>
  <si>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</si>
  <si>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</si>
  <si>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</si>
  <si>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</si>
  <si>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</si>
  <si>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</si>
  <si>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</si>
  <si>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</si>
  <si>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</si>
  <si>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</si>
  <si>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</si>
  <si>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</si>
  <si>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</si>
  <si>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</si>
  <si>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</si>
  <si>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</si>
  <si>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</si>
  <si>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</si>
  <si>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</si>
  <si>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</si>
  <si>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</si>
  <si>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</si>
  <si>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</si>
  <si>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</si>
  <si>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</si>
  <si>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</si>
  <si>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</si>
  <si>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</si>
  <si>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</si>
  <si>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</si>
  <si>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</si>
  <si>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</si>
  <si>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</si>
  <si>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</si>
  <si>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</si>
  <si>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</si>
  <si>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</si>
  <si>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</si>
  <si>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</si>
  <si>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</si>
  <si>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</si>
  <si>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</si>
  <si>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</si>
  <si>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</si>
  <si>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</si>
  <si>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</si>
  <si>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</si>
  <si>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</si>
  <si>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</si>
  <si>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</si>
  <si>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</si>
  <si>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</si>
  <si>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</si>
  <si>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</si>
  <si>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</si>
  <si>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</si>
  <si>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</si>
  <si>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</si>
  <si>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</si>
  <si>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</si>
  <si>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</si>
  <si>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</si>
  <si>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</si>
  <si>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</si>
  <si>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</si>
  <si>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</si>
  <si>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</si>
  <si>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</si>
  <si>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</si>
  <si>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</si>
  <si>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</si>
  <si>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</si>
  <si>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</si>
  <si>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</si>
  <si>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</si>
  <si>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</si>
  <si>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</si>
  <si>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</si>
  <si>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</si>
  <si>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</si>
  <si>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</si>
  <si>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</si>
  <si>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</si>
  <si>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</si>
  <si>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</si>
  <si>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</si>
  <si>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</si>
  <si>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</si>
  <si>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</si>
  <si>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</si>
  <si>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</si>
  <si>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</si>
  <si>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</si>
  <si>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</si>
  <si>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</si>
  <si>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</si>
  <si>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</si>
  <si>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</si>
  <si>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</si>
  <si>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</si>
  <si>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</si>
  <si>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</si>
  <si>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</si>
  <si>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</si>
  <si>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</si>
  <si>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</si>
  <si>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</si>
  <si>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</si>
  <si>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</si>
  <si>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</si>
  <si>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</si>
  <si>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</si>
  <si>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</si>
  <si>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</si>
  <si>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</si>
  <si>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</si>
  <si>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</si>
  <si>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</si>
  <si>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</si>
  <si>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</si>
  <si>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</si>
  <si>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</si>
  <si>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</si>
  <si>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</si>
  <si>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</si>
  <si>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</si>
  <si>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</si>
  <si>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</si>
  <si>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</si>
  <si>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</si>
  <si>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</si>
  <si>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</si>
  <si>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</si>
  <si>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</si>
  <si>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</si>
  <si>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</si>
  <si>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</si>
  <si>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</si>
  <si>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</si>
  <si>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</si>
  <si>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</si>
  <si>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</si>
  <si>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</si>
  <si>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</si>
  <si>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</si>
  <si>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</si>
  <si>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</si>
  <si>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</si>
  <si>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</si>
  <si>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</si>
  <si>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</si>
  <si>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</si>
  <si>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</si>
  <si>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</si>
  <si>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</si>
  <si>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</si>
  <si>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</si>
  <si>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</si>
  <si>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</si>
  <si>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</si>
  <si>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</si>
  <si>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</si>
  <si>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</si>
  <si>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</si>
  <si>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</si>
  <si>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</si>
  <si>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</si>
  <si>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</si>
  <si>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</si>
  <si>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</si>
  <si>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</si>
  <si>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0811.HK</t>
    <phoneticPr fontId="20" type="noConversion"/>
  </si>
  <si>
    <t>新华文轩</t>
    <phoneticPr fontId="20" type="noConversion"/>
  </si>
  <si>
    <t>C0012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</si>
</sst>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0811.HK</v>
      </c>
      <c r="D3" s="247"/>
      <c r="E3" s="87"/>
      <c r="F3" s="3" t="s">
        <v>1</v>
      </c>
      <c r="G3" s="133">
        <v>9.6099996566772461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新华文轩</v>
      </c>
      <c r="D4" s="249"/>
      <c r="E4" s="87"/>
      <c r="F4" s="3" t="s">
        <v>3</v>
      </c>
      <c r="G4" s="252">
        <f>Inputs!C10</f>
        <v>1233841000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45604</v>
      </c>
      <c r="D5" s="251"/>
      <c r="E5" s="34"/>
      <c r="F5" s="35" t="s">
        <v>102</v>
      </c>
      <c r="G5" s="244">
        <f>G3*G4/1000000</f>
        <v>11857.211586394311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C0012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0.6223905170283478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0.25451341065151861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1.5061272402478966E-3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1.6834397167810114E-3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9.349729872968901E-2</v>
      </c>
    </row>
    <row r="25" spans="1:8" ht="15.75" customHeight="1" x14ac:dyDescent="0.4">
      <c r="B25" s="138" t="s">
        <v>208</v>
      </c>
      <c r="C25" s="177">
        <f>Fin_Analysis!I82</f>
        <v>4.1457926751634292E-3</v>
      </c>
      <c r="F25" s="141" t="s">
        <v>188</v>
      </c>
      <c r="G25" s="177">
        <f>Fin_Analysis!I88</f>
        <v>0.7064692610791351</v>
      </c>
    </row>
    <row r="26" spans="1:8" ht="15.75" customHeight="1" x14ac:dyDescent="0.4">
      <c r="B26" s="139" t="s">
        <v>187</v>
      </c>
      <c r="C26" s="177">
        <f>Fin_Analysis!I83</f>
        <v>0.11576071268794125</v>
      </c>
      <c r="F26" s="142" t="s">
        <v>210</v>
      </c>
      <c r="G26" s="184">
        <f>Fin_Analysis!H88*Exchange_Rate/G3</f>
        <v>6.6052967546458549E-2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6.0351480026951752</v>
      </c>
      <c r="D29" s="130">
        <f>IF(Fin_Analysis!C108="Profit",Fin_Analysis!I100,IF(Fin_Analysis!C108="Dividend",Fin_Analysis!I103,Fin_Analysis!I106))</f>
        <v>10.717986679484206</v>
      </c>
      <c r="E29" s="87"/>
      <c r="F29" s="132">
        <f>IF(Fin_Analysis!C108="Profit",Fin_Analysis!F100,IF(Fin_Analysis!C108="Dividend",Fin_Analysis!F103,Fin_Analysis!F106))</f>
        <v>8.5743893435873648</v>
      </c>
      <c r="G29" s="243">
        <f>IF(Fin_Analysis!C108="Profit",Fin_Analysis!H100,IF(Fin_Analysis!C108="Dividend",Fin_Analysis!H103,Fin_Analysis!H106))</f>
        <v>8.5743893435873648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0.4+0.19</f>
        <v>0.59000000000000008</v>
      </c>
    </row>
    <row r="6" spans="1:6" ht="13.9" x14ac:dyDescent="0.4">
      <c r="B6" s="142" t="s">
        <v>175</v>
      </c>
      <c r="C6" s="196">
        <v>45604</v>
      </c>
      <c r="E6" s="233" t="s">
        <v>224</v>
      </c>
      <c r="F6" s="232">
        <f>F5</f>
        <v>0.59000000000000008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1233841000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11868490425.190001</v>
      </c>
      <c r="D19" s="152">
        <v>10930302487.299999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7386835892.0799999</v>
      </c>
      <c r="D20" s="153">
        <v>6956163862.6700001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3020689977.3999996</v>
      </c>
      <c r="D21" s="153">
        <v>2613446855.2799997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19979888.16</v>
      </c>
      <c r="D23" s="153">
        <v>14166706.34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17875456.73</v>
      </c>
      <c r="D26" s="153">
        <v>20978186.489999998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49204300.670000002</v>
      </c>
      <c r="D27" s="153">
        <v>-5437935.0599999996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1377483364.7533343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11868490425.190001</v>
      </c>
      <c r="D6" s="209">
        <f>IF(Inputs!D19="","",Inputs!D19)</f>
        <v>10930302487.299999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7386835892.0799999</v>
      </c>
      <c r="D8" s="208">
        <f>IF(Inputs!D20="","",Inputs!D20)</f>
        <v>6956163862.6700001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4481654533.1100006</v>
      </c>
      <c r="D9" s="154">
        <f t="shared" si="2"/>
        <v>3974138624.6299992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3020689977.3999996</v>
      </c>
      <c r="D10" s="208">
        <f>IF(Inputs!D21="","",Inputs!D21)</f>
        <v>2613446855.2799997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1460964555.710001</v>
      </c>
      <c r="D13" s="154">
        <f t="shared" ref="D13:M13" si="4">IF(D6="","",(D9-D10+MAX(D12,0)))</f>
        <v>1360691769.3499994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19979888.16</v>
      </c>
      <c r="D14" s="208">
        <f>IF(Inputs!D23="","",Inputs!D23)</f>
        <v>14166706.34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17875456.73</v>
      </c>
      <c r="D17" s="208">
        <f>IF(Inputs!D26="","",Inputs!D26)</f>
        <v>20978186.489999998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49204300.670000002</v>
      </c>
      <c r="D18" s="208">
        <f>IF(Inputs!D27="","",Inputs!D27)</f>
        <v>-5437935.0599999996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1377483364.7533343</v>
      </c>
      <c r="D19" s="237">
        <f>IF(D6="","",D9-D10-MAX(D17,0)-MAX(D18,0)/(1-Fin_Analysis!$I$84))</f>
        <v>1339713582.8599994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2.8192430364634008E-2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1357503476.5933342</v>
      </c>
      <c r="D21" s="77">
        <f>IF(D6="","",D13-MAX(D14,0)-MAX(D15,0)-MAX(D16,0)-MAX(D17,0)-MAX(D18,0)/(1-Fin_Analysis!$I$84))</f>
        <v>1325546876.5199995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2.4108238372701971E-2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8.5784086347165056E-2</v>
      </c>
      <c r="D23" s="157">
        <f t="shared" si="7"/>
        <v>9.0954496322962861E-2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1018127607.4450006</v>
      </c>
      <c r="D24" s="77">
        <f>IF(D6="","",D21*(1-Fin_Analysis!$I$84))</f>
        <v>994160157.38999963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2.4108238372701971E-2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0.6223905170283478</v>
      </c>
      <c r="D42" s="161">
        <f t="shared" si="33"/>
        <v>0.63641092007768485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0.25451341065151861</v>
      </c>
      <c r="D43" s="157">
        <f t="shared" ref="D43:M43" si="34">IF(D6="","",(D10-MAX(D12,0))/D6)</f>
        <v>0.23910105491742642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1.6834397167810114E-3</v>
      </c>
      <c r="D44" s="157">
        <f t="shared" ref="D44:M44" si="35">IF(D6="","",(MAX(D14,0)+MAX(D15,0))/D6)</f>
        <v>1.2960946283472395E-3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1.5061272402478966E-3</v>
      </c>
      <c r="D46" s="157">
        <f t="shared" ref="D46:M46" si="37">IF(D6="","",MAX(D17,0)/D6)</f>
        <v>1.9192686125909793E-3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5.5277235668845723E-3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0.11437878179622006</v>
      </c>
      <c r="D48" s="157">
        <f t="shared" si="38"/>
        <v>0.12127266176395049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1.316789020302077E-2</v>
      </c>
      <c r="D55" s="157">
        <f t="shared" ref="D55:M55" si="43">IF(D21="","",IF(MAX(D17,0)&lt;=0,"-",D17/D21))</f>
        <v>1.5826061576241422E-2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Normal="100" workbookViewId="0">
      <selection activeCell="D98" sqref="D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11868490425.190001</v>
      </c>
      <c r="D74" s="218"/>
      <c r="E74" s="205">
        <f>H74</f>
        <v>11868490425.190001</v>
      </c>
      <c r="F74" s="218"/>
      <c r="H74" s="205">
        <f>C74</f>
        <v>11868490425.190001</v>
      </c>
      <c r="I74" s="218"/>
      <c r="K74" s="24"/>
    </row>
    <row r="75" spans="1:11" ht="15" customHeight="1" x14ac:dyDescent="0.4">
      <c r="B75" s="105" t="s">
        <v>109</v>
      </c>
      <c r="C75" s="77">
        <f>Data!C8</f>
        <v>7386835892.0799999</v>
      </c>
      <c r="D75" s="164">
        <f>C75/$C$74</f>
        <v>0.6223905170283478</v>
      </c>
      <c r="E75" s="186">
        <f>E74*F75</f>
        <v>7386835892.0799999</v>
      </c>
      <c r="F75" s="165">
        <f>I75</f>
        <v>0.6223905170283478</v>
      </c>
      <c r="H75" s="205">
        <f>D75*H74</f>
        <v>7386835892.0799999</v>
      </c>
      <c r="I75" s="165">
        <f>H75/$H$74</f>
        <v>0.6223905170283478</v>
      </c>
      <c r="K75" s="24"/>
    </row>
    <row r="76" spans="1:11" ht="15" customHeight="1" x14ac:dyDescent="0.4">
      <c r="B76" s="35" t="s">
        <v>96</v>
      </c>
      <c r="C76" s="166">
        <f>C74-C75</f>
        <v>4481654533.1100006</v>
      </c>
      <c r="D76" s="219"/>
      <c r="E76" s="167">
        <f>E74-E75</f>
        <v>4481654533.1100006</v>
      </c>
      <c r="F76" s="219"/>
      <c r="H76" s="167">
        <f>H74-H75</f>
        <v>4481654533.1100006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3020689977.3999996</v>
      </c>
      <c r="D77" s="164">
        <f>C77/$C$74</f>
        <v>0.25451341065151861</v>
      </c>
      <c r="E77" s="186">
        <f>E74*F77</f>
        <v>3020689977.3999991</v>
      </c>
      <c r="F77" s="165">
        <f>I77</f>
        <v>0.25451341065151861</v>
      </c>
      <c r="H77" s="205">
        <f>D77*H74</f>
        <v>3020689977.3999991</v>
      </c>
      <c r="I77" s="165">
        <f>H77/$H$74</f>
        <v>0.25451341065151861</v>
      </c>
      <c r="K77" s="24"/>
    </row>
    <row r="78" spans="1:11" ht="15" customHeight="1" x14ac:dyDescent="0.4">
      <c r="B78" s="35" t="s">
        <v>97</v>
      </c>
      <c r="C78" s="166">
        <f>C76-C77</f>
        <v>1460964555.710001</v>
      </c>
      <c r="D78" s="219"/>
      <c r="E78" s="167">
        <f>E76-E77</f>
        <v>1460964555.7100015</v>
      </c>
      <c r="F78" s="219"/>
      <c r="H78" s="167">
        <f>H76-H77</f>
        <v>1460964555.7100015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17875456.73</v>
      </c>
      <c r="D79" s="164">
        <f>C79/$C$74</f>
        <v>1.5061272402478966E-3</v>
      </c>
      <c r="E79" s="186">
        <f>E74*F79</f>
        <v>17875456.73</v>
      </c>
      <c r="F79" s="165">
        <f t="shared" ref="F79:F84" si="3">I79</f>
        <v>1.5061272402478966E-3</v>
      </c>
      <c r="H79" s="205">
        <f>C79</f>
        <v>17875456.73</v>
      </c>
      <c r="I79" s="165">
        <f>H79/$H$74</f>
        <v>1.5061272402478966E-3</v>
      </c>
      <c r="K79" s="24"/>
    </row>
    <row r="80" spans="1:11" ht="15" customHeight="1" x14ac:dyDescent="0.4">
      <c r="B80" s="28" t="s">
        <v>135</v>
      </c>
      <c r="C80" s="77">
        <f>MAX(Data!C14,0)+MAX(Data!C15,0)</f>
        <v>19979888.16</v>
      </c>
      <c r="D80" s="164">
        <f>C80/$C$74</f>
        <v>1.6834397167810114E-3</v>
      </c>
      <c r="E80" s="186">
        <f>E74*F80</f>
        <v>19979888.16</v>
      </c>
      <c r="F80" s="165">
        <f t="shared" si="3"/>
        <v>1.6834397167810114E-3</v>
      </c>
      <c r="H80" s="205">
        <f>H74*D80</f>
        <v>19979888.16</v>
      </c>
      <c r="I80" s="165">
        <f>H80/$H$74</f>
        <v>1.6834397167810114E-3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49204300.670000002</v>
      </c>
      <c r="D82" s="164">
        <f>C82/$C$74</f>
        <v>4.1457926751634292E-3</v>
      </c>
      <c r="E82" s="186">
        <f>E74*F82</f>
        <v>49204300.669999994</v>
      </c>
      <c r="F82" s="165">
        <f t="shared" si="3"/>
        <v>4.1457926751634292E-3</v>
      </c>
      <c r="H82" s="205">
        <f>H74*D82</f>
        <v>49204300.669999994</v>
      </c>
      <c r="I82" s="165">
        <f>H82/$H$74</f>
        <v>4.1457926751634292E-3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1373904910.1500008</v>
      </c>
      <c r="D83" s="169">
        <f>C83/$C$74</f>
        <v>0.11576071268794121</v>
      </c>
      <c r="E83" s="170">
        <f>E78-E79-E80-E81-E82</f>
        <v>1373904910.1500013</v>
      </c>
      <c r="F83" s="169">
        <f>E83/E74</f>
        <v>0.11576071268794125</v>
      </c>
      <c r="H83" s="170">
        <f>H78-H79-H80-H81-H82</f>
        <v>1373904910.1500013</v>
      </c>
      <c r="I83" s="169">
        <f>H83/$H$74</f>
        <v>0.11576071268794125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1030428682.6125007</v>
      </c>
      <c r="D85" s="171">
        <f>C85/$C$74</f>
        <v>8.6820534515955908E-2</v>
      </c>
      <c r="E85" s="172">
        <f>E83*(1-F84)</f>
        <v>1030428682.6125009</v>
      </c>
      <c r="F85" s="171">
        <f>E85/E74</f>
        <v>8.6820534515955936E-2</v>
      </c>
      <c r="H85" s="172">
        <f>H83*(1-I84)</f>
        <v>1030428682.6125009</v>
      </c>
      <c r="I85" s="171">
        <f>H85/$H$74</f>
        <v>8.6820534515955936E-2</v>
      </c>
      <c r="K85" s="24"/>
    </row>
    <row r="86" spans="1:11" ht="15" customHeight="1" x14ac:dyDescent="0.4">
      <c r="B86" s="87" t="s">
        <v>172</v>
      </c>
      <c r="C86" s="173">
        <f>C85*Data!C4/Common_Shares</f>
        <v>0.83513895438107555</v>
      </c>
      <c r="D86" s="218"/>
      <c r="E86" s="174">
        <f>E85*Data!C4/Common_Shares</f>
        <v>0.83513895438107577</v>
      </c>
      <c r="F86" s="218"/>
      <c r="H86" s="174">
        <f>H85*Data!C4/Common_Shares</f>
        <v>0.83513895438107577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9.3497298729688996E-2</v>
      </c>
      <c r="D87" s="218"/>
      <c r="E87" s="239">
        <f>E86*Exchange_Rate/Dashboard!G3</f>
        <v>9.349729872968901E-2</v>
      </c>
      <c r="F87" s="218"/>
      <c r="H87" s="239">
        <f>H86*Exchange_Rate/Dashboard!G3</f>
        <v>9.349729872968901E-2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0.59000000000000008</v>
      </c>
      <c r="D88" s="171">
        <f>C88/C86</f>
        <v>0.70646926107913521</v>
      </c>
      <c r="E88" s="204">
        <f>H88</f>
        <v>0.59000000000000008</v>
      </c>
      <c r="F88" s="171">
        <f>E88/E86</f>
        <v>0.7064692610791351</v>
      </c>
      <c r="H88" s="176">
        <f>Inputs!F6</f>
        <v>0.59000000000000008</v>
      </c>
      <c r="I88" s="171">
        <f>H88/H86</f>
        <v>0.7064692610791351</v>
      </c>
      <c r="K88" s="24"/>
    </row>
    <row r="89" spans="1:11" ht="15" customHeight="1" x14ac:dyDescent="0.4">
      <c r="B89" s="87" t="s">
        <v>245</v>
      </c>
      <c r="C89" s="165">
        <f>C88*Exchange_Rate/Dashboard!G3</f>
        <v>6.6052967546458549E-2</v>
      </c>
      <c r="D89" s="218"/>
      <c r="E89" s="165">
        <f>E88*Exchange_Rate/Dashboard!G3</f>
        <v>6.6052967546458549E-2</v>
      </c>
      <c r="F89" s="218"/>
      <c r="H89" s="165">
        <f>H88*Exchange_Rate/Dashboard!G3</f>
        <v>6.6052967546458549E-2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18.13488549339711</v>
      </c>
      <c r="H93" s="87" t="s">
        <v>228</v>
      </c>
      <c r="I93" s="146">
        <f>FV(H87,D93,0,-(H86/C93))</f>
        <v>18.13488549339711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11.282710176432854</v>
      </c>
      <c r="H94" s="87" t="s">
        <v>229</v>
      </c>
      <c r="I94" s="146">
        <f>FV(H89,D93,0,-(H88/C93))</f>
        <v>11.282710176432854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17004496725.861338</v>
      </c>
      <c r="E97" s="124">
        <f>PV(C94,D93,0,-F93)*Exchange_Rate</f>
        <v>9.7003925699688569</v>
      </c>
      <c r="F97" s="124">
        <f>PV(C93,D93,0,-F93)*Exchange_Rate</f>
        <v>13.781756908597897</v>
      </c>
      <c r="H97" s="124">
        <f>PV(C93,D93,0,-I93)*Exchange_Rate</f>
        <v>13.781756908597897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17004496725.861338</v>
      </c>
      <c r="E100" s="110">
        <f>MAX(E97-H98+F99,0)</f>
        <v>9.7003925699688569</v>
      </c>
      <c r="F100" s="110">
        <f>MAX(F97-H98+F99,0)</f>
        <v>13.781756908597897</v>
      </c>
      <c r="H100" s="110">
        <f>MAX(C100*Data!$C$4/Common_Shares,0)</f>
        <v>13.781756908597897</v>
      </c>
      <c r="I100" s="110">
        <f>H100*1.25</f>
        <v>17.22719613574737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10579433122.081179</v>
      </c>
      <c r="E103" s="110">
        <f>PV(C94,D93,0,-F94)*Exchange_Rate</f>
        <v>6.0351480026951752</v>
      </c>
      <c r="F103" s="124">
        <f>PV(C93,D93,0,-F94)*Exchange_Rate</f>
        <v>8.5743893435873648</v>
      </c>
      <c r="H103" s="124">
        <f>PV(C93,D93,0,-I94)*Exchange_Rate</f>
        <v>8.5743893435873648</v>
      </c>
      <c r="I103" s="110">
        <f>H103*1.25</f>
        <v>10.717986679484206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13791964923.971258</v>
      </c>
      <c r="E106" s="110">
        <f>(E100+E103)/2</f>
        <v>7.867770286332016</v>
      </c>
      <c r="F106" s="124">
        <f>(F100+F103)/2</f>
        <v>11.178073126092631</v>
      </c>
      <c r="H106" s="124">
        <f>(H100+H103)/2</f>
        <v>11.178073126092631</v>
      </c>
      <c r="I106" s="110">
        <f>H106*1.25</f>
        <v>13.972591407615788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