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4CCBE8-0424-41AD-9B16-09EDDACB097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8" i="2" l="1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25" i="4"/>
  <c r="K25" i="4"/>
  <c r="L26" i="4"/>
  <c r="L18" i="2" s="1"/>
  <c r="K26" i="4"/>
  <c r="K18" i="2" s="1"/>
  <c r="L21" i="4"/>
  <c r="K21" i="4"/>
  <c r="L20" i="4"/>
  <c r="K20" i="4"/>
  <c r="L36" i="2" l="1"/>
  <c r="J25" i="4"/>
  <c r="I25" i="4"/>
  <c r="J26" i="4"/>
  <c r="J18" i="2" s="1"/>
  <c r="I26" i="4"/>
  <c r="I18" i="2" s="1"/>
  <c r="J21" i="4"/>
  <c r="I21" i="4"/>
  <c r="J20" i="4"/>
  <c r="I20" i="4"/>
  <c r="F25" i="4" l="1"/>
  <c r="E25" i="4"/>
  <c r="H25" i="4"/>
  <c r="G25" i="4"/>
  <c r="H26" i="4"/>
  <c r="H18" i="2" s="1"/>
  <c r="G26" i="4"/>
  <c r="G18" i="2" s="1"/>
  <c r="H21" i="4"/>
  <c r="G21" i="4"/>
  <c r="H20" i="4"/>
  <c r="G20" i="4"/>
  <c r="F26" i="4"/>
  <c r="F18" i="2" s="1"/>
  <c r="E26" i="4"/>
  <c r="E18" i="2" s="1"/>
  <c r="F21" i="4"/>
  <c r="E21" i="4"/>
  <c r="E20" i="4"/>
  <c r="F20" i="4"/>
  <c r="F5" i="4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l="1"/>
  <c r="E88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F3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G3" i="2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H79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E74" i="3"/>
  <c r="E75" i="3" s="1"/>
  <c r="H77" i="3"/>
  <c r="H75" i="3"/>
  <c r="I16" i="2"/>
  <c r="J16" i="2"/>
  <c r="D16" i="2"/>
  <c r="H54" i="2"/>
  <c r="D77" i="3"/>
  <c r="D54" i="2"/>
  <c r="E25" i="2"/>
  <c r="D81" i="3"/>
  <c r="C76" i="3"/>
  <c r="C78" i="3" s="1"/>
  <c r="D82" i="3"/>
  <c r="H82" i="3" s="1"/>
  <c r="D75" i="3"/>
  <c r="D80" i="3"/>
  <c r="H80" i="3" s="1"/>
  <c r="D79" i="3"/>
  <c r="C28" i="3"/>
  <c r="C29" i="2" s="1"/>
  <c r="F75" i="3" l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<sst xmlns="http://schemas.openxmlformats.org/spreadsheetml/2006/main" count="372" uniqueCount="269">
  <si>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</si>
  <si>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</si>
  <si>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</si>
  <si>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</si>
  <si>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</si>
  <si>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</si>
  <si>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</si>
  <si>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</si>
  <si>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</si>
  <si>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</si>
  <si>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</si>
  <si>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</si>
  <si>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</si>
  <si>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</si>
  <si>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</si>
  <si>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</si>
  <si>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</si>
  <si>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</si>
  <si>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</si>
  <si>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</si>
  <si>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</si>
  <si>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</si>
  <si>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</si>
  <si>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</si>
  <si>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</si>
  <si>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</si>
  <si>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</si>
  <si>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</si>
  <si>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</si>
  <si>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</si>
  <si>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</si>
  <si>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</si>
  <si>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</si>
  <si>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</si>
  <si>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</si>
  <si>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</si>
  <si>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</si>
  <si>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</si>
  <si>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</si>
  <si>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</si>
  <si>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</si>
  <si>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</si>
  <si>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</si>
  <si>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</si>
  <si>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</si>
  <si>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</si>
  <si>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</si>
  <si>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</si>
  <si>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</si>
  <si>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</si>
  <si>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</si>
  <si>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</si>
  <si>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</si>
  <si>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</si>
  <si>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</si>
  <si>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</si>
  <si>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</si>
  <si>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</si>
  <si>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</si>
  <si>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</si>
  <si>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</si>
  <si>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</si>
  <si>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</si>
  <si>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</si>
  <si>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</si>
  <si>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</si>
  <si>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</si>
  <si>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</si>
  <si>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</si>
  <si>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</si>
  <si>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</si>
  <si>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</si>
  <si>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</si>
  <si>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</si>
  <si>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</si>
  <si>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</si>
  <si>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</si>
  <si>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</si>
  <si>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</si>
  <si>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</si>
  <si>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</si>
  <si>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</si>
  <si>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</si>
  <si>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</si>
  <si>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</si>
  <si>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</si>
  <si>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</si>
  <si>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</si>
  <si>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</si>
  <si>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</si>
  <si>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</si>
  <si>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</si>
  <si>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</si>
  <si>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</si>
  <si>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</si>
  <si>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</si>
  <si>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</si>
  <si>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</si>
  <si>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</si>
  <si>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</si>
  <si>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</si>
  <si>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</si>
  <si>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</si>
  <si>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</si>
  <si>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</si>
  <si>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</si>
  <si>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</si>
  <si>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</si>
  <si>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</si>
  <si>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</si>
  <si>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</si>
  <si>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</si>
  <si>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</si>
  <si>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</si>
  <si>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</si>
  <si>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</si>
  <si>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</si>
  <si>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</si>
  <si>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</si>
  <si>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</si>
  <si>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</si>
  <si>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</si>
  <si>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</si>
  <si>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</si>
  <si>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</si>
  <si>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</si>
  <si>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</si>
  <si>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</si>
  <si>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</si>
  <si>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</si>
  <si>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</si>
  <si>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</si>
  <si>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</si>
  <si>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</si>
  <si>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</si>
  <si>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</si>
  <si>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</si>
  <si>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</si>
  <si>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</si>
  <si>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</si>
  <si>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</si>
  <si>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</si>
  <si>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</si>
  <si>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</si>
  <si>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</si>
  <si>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</si>
  <si>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</si>
  <si>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</si>
  <si>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</si>
  <si>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</si>
  <si>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</si>
  <si>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</si>
  <si>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</si>
  <si>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</si>
  <si>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</si>
  <si>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</si>
  <si>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</si>
  <si>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</si>
  <si>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</si>
  <si>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</si>
  <si>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</si>
  <si>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</si>
  <si>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</si>
  <si>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</si>
  <si>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</si>
  <si>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</si>
  <si>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</si>
  <si>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</si>
  <si>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</si>
  <si>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</si>
  <si>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</si>
  <si>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</si>
  <si>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</si>
  <si>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</si>
  <si>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</si>
  <si>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</si>
  <si>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</si>
  <si>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</si>
  <si>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</si>
  <si>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</si>
  <si>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</si>
  <si>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</si>
  <si>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</si>
  <si>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</si>
  <si>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</si>
  <si>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</si>
  <si>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</si>
  <si>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</si>
  <si>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</si>
  <si>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</si>
  <si>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</si>
  <si>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</si>
  <si>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</si>
  <si>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</si>
  <si>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</si>
  <si>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</si>
  <si>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</si>
  <si>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</si>
  <si>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</si>
  <si>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</si>
  <si>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</si>
  <si>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</si>
  <si>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</si>
  <si>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</si>
  <si>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</si>
  <si>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</si>
  <si>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</si>
  <si>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</si>
  <si>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</si>
  <si>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</si>
  <si>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</si>
  <si>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</si>
  <si>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</si>
  <si>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</si>
  <si>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</si>
  <si>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</si>
  <si>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</si>
  <si>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</si>
  <si>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</si>
  <si>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</si>
  <si>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</si>
  <si>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</si>
  <si>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</si>
  <si>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</si>
  <si>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</si>
  <si>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</si>
  <si>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</si>
  <si>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</si>
  <si>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</si>
  <si>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</si>
  <si>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</si>
  <si>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</si>
  <si>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</si>
  <si>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</si>
  <si>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</si>
  <si>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</si>
  <si>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中國石油股份</t>
    <phoneticPr fontId="20" type="noConversion"/>
  </si>
  <si>
    <t>C0013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</si>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</sst>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28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</c:v>
                </c:pt>
                <c:pt idx="1">
                  <c:v>5.04E-2</c:v>
                </c:pt>
                <c:pt idx="2">
                  <c:v>7.9916652607163307E-3</c:v>
                </c:pt>
                <c:pt idx="3">
                  <c:v>1.8938483141216308E-2</c:v>
                </c:pt>
                <c:pt idx="4">
                  <c:v>0</c:v>
                </c:pt>
                <c:pt idx="5">
                  <c:v>6.8684548583665562E-3</c:v>
                </c:pt>
                <c:pt idx="6">
                  <c:v>4.5801396739700823E-2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9" sqref="C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224</v>
      </c>
    </row>
    <row r="4" spans="1:6" ht="13.9" x14ac:dyDescent="0.4">
      <c r="B4" s="142" t="s">
        <v>203</v>
      </c>
      <c r="C4" s="195" t="s">
        <v>235</v>
      </c>
      <c r="E4" s="240" t="s">
        <v>216</v>
      </c>
      <c r="F4" s="12" t="str">
        <f>C11</f>
        <v>CNY</v>
      </c>
    </row>
    <row r="5" spans="1:6" ht="15" x14ac:dyDescent="0.5">
      <c r="B5" s="142" t="s">
        <v>204</v>
      </c>
      <c r="C5" s="241" t="s">
        <v>236</v>
      </c>
      <c r="E5" s="231">
        <f>C18</f>
        <v>45291</v>
      </c>
      <c r="F5" s="232">
        <f>0.22+0.23</f>
        <v>0.45</v>
      </c>
    </row>
    <row r="6" spans="1:6" ht="13.9" x14ac:dyDescent="0.4">
      <c r="B6" s="142" t="s">
        <v>169</v>
      </c>
      <c r="C6" s="196">
        <v>45605</v>
      </c>
      <c r="E6" s="233" t="s">
        <v>214</v>
      </c>
      <c r="F6" s="232">
        <f>F5</f>
        <v>0.45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225</v>
      </c>
      <c r="C8" s="198" t="s">
        <v>46</v>
      </c>
    </row>
    <row r="9" spans="1:6" ht="13.9" x14ac:dyDescent="0.4">
      <c r="B9" s="141" t="s">
        <v>226</v>
      </c>
      <c r="C9" s="199" t="s">
        <v>237</v>
      </c>
    </row>
    <row r="10" spans="1:6" ht="13.9" x14ac:dyDescent="0.4">
      <c r="B10" s="141" t="s">
        <v>227</v>
      </c>
      <c r="C10" s="200">
        <v>183020977818</v>
      </c>
    </row>
    <row r="11" spans="1:6" ht="13.9" x14ac:dyDescent="0.4">
      <c r="B11" s="141" t="s">
        <v>228</v>
      </c>
      <c r="C11" s="199" t="s">
        <v>232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230</v>
      </c>
      <c r="C14" s="228">
        <v>45473</v>
      </c>
    </row>
    <row r="15" spans="1:6" ht="13.9" x14ac:dyDescent="0.4">
      <c r="B15" s="227" t="s">
        <v>229</v>
      </c>
      <c r="C15" s="182" t="s">
        <v>233</v>
      </c>
    </row>
    <row r="16" spans="1:6" ht="13.9" x14ac:dyDescent="0.4">
      <c r="B16" s="234" t="s">
        <v>97</v>
      </c>
      <c r="C16" s="235">
        <v>0.25</v>
      </c>
      <c r="D16" s="24"/>
    </row>
    <row r="18" spans="2:13" ht="13.9" x14ac:dyDescent="0.4">
      <c r="B18" s="116" t="s">
        <v>138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3011012</v>
      </c>
      <c r="D19" s="152">
        <v>3239167</v>
      </c>
      <c r="E19" s="152">
        <v>2614349</v>
      </c>
      <c r="F19" s="152">
        <v>1933836</v>
      </c>
      <c r="G19" s="152">
        <v>2516810</v>
      </c>
      <c r="H19" s="152">
        <v>2374934</v>
      </c>
      <c r="I19" s="152">
        <v>2015890</v>
      </c>
      <c r="J19" s="152">
        <v>1616903</v>
      </c>
      <c r="K19" s="152">
        <v>1725428</v>
      </c>
      <c r="L19" s="152">
        <v>2282962</v>
      </c>
      <c r="M19" s="152"/>
    </row>
    <row r="20" spans="2:13" ht="13.9" x14ac:dyDescent="0.4">
      <c r="B20" s="97" t="s">
        <v>106</v>
      </c>
      <c r="C20" s="153">
        <v>2597400</v>
      </c>
      <c r="D20" s="153">
        <v>2804756</v>
      </c>
      <c r="E20" s="153">
        <f>2071504+226664</f>
        <v>2298168</v>
      </c>
      <c r="F20" s="153">
        <f>1546604+194904</f>
        <v>1741508</v>
      </c>
      <c r="G20" s="153">
        <f>2002403+226905</f>
        <v>2229308</v>
      </c>
      <c r="H20" s="153">
        <f>1839562+219291</f>
        <v>2058853</v>
      </c>
      <c r="I20" s="153">
        <f>1584245+196095</f>
        <v>1780340</v>
      </c>
      <c r="J20" s="153">
        <f>1235707+187846</f>
        <v>1423553</v>
      </c>
      <c r="K20" s="153">
        <f>1300419+200255</f>
        <v>1500674</v>
      </c>
      <c r="L20" s="153">
        <f>1735354+227774</f>
        <v>1963128</v>
      </c>
      <c r="M20" s="153"/>
    </row>
    <row r="21" spans="2:13" ht="13.9" x14ac:dyDescent="0.4">
      <c r="B21" s="97" t="s">
        <v>104</v>
      </c>
      <c r="C21" s="153">
        <v>125283</v>
      </c>
      <c r="D21" s="153">
        <v>118875</v>
      </c>
      <c r="E21" s="153">
        <f>71295+51701</f>
        <v>122996</v>
      </c>
      <c r="F21" s="153">
        <f>71476+55315</f>
        <v>126791</v>
      </c>
      <c r="G21" s="153">
        <f>74108+61757</f>
        <v>135865</v>
      </c>
      <c r="H21" s="153">
        <f>69083+68148</f>
        <v>137231</v>
      </c>
      <c r="I21" s="153">
        <f>66067+77565</f>
        <v>143632</v>
      </c>
      <c r="J21" s="153">
        <f>63976+75958</f>
        <v>139934</v>
      </c>
      <c r="K21" s="153">
        <f>62961+79659</f>
        <v>142620</v>
      </c>
      <c r="L21" s="153">
        <f>63207+84595</f>
        <v>147802</v>
      </c>
      <c r="M21" s="153"/>
    </row>
    <row r="22" spans="2:13" ht="13.9" x14ac:dyDescent="0.4">
      <c r="B22" s="97" t="s">
        <v>107</v>
      </c>
      <c r="C22" s="153">
        <v>21957</v>
      </c>
      <c r="D22" s="153">
        <v>20016</v>
      </c>
      <c r="E22" s="153">
        <v>16729</v>
      </c>
      <c r="F22" s="153">
        <v>15746</v>
      </c>
      <c r="G22" s="153">
        <v>15666</v>
      </c>
      <c r="H22" s="153">
        <v>12826</v>
      </c>
      <c r="I22" s="153"/>
      <c r="J22" s="153"/>
      <c r="K22" s="153"/>
      <c r="L22" s="153"/>
      <c r="M22" s="153"/>
    </row>
    <row r="23" spans="2:13" ht="13.9" x14ac:dyDescent="0.4">
      <c r="B23" s="97" t="s">
        <v>125</v>
      </c>
      <c r="C23" s="153">
        <v>24063</v>
      </c>
      <c r="D23" s="153">
        <v>21554</v>
      </c>
      <c r="E23" s="153">
        <v>19739</v>
      </c>
      <c r="F23" s="153">
        <v>26528</v>
      </c>
      <c r="G23" s="153">
        <v>30409</v>
      </c>
      <c r="H23" s="153">
        <v>22718</v>
      </c>
      <c r="I23" s="153">
        <v>21648</v>
      </c>
      <c r="J23" s="153">
        <v>20652</v>
      </c>
      <c r="K23" s="153">
        <v>23826</v>
      </c>
      <c r="L23" s="153">
        <v>24877</v>
      </c>
      <c r="M23" s="153"/>
    </row>
    <row r="24" spans="2:13" ht="13.9" x14ac:dyDescent="0.4">
      <c r="B24" s="99" t="s">
        <v>111</v>
      </c>
      <c r="C24" s="153">
        <v>20681</v>
      </c>
      <c r="D24" s="153">
        <v>20705</v>
      </c>
      <c r="E24" s="153">
        <v>22526</v>
      </c>
      <c r="F24" s="153">
        <v>14479</v>
      </c>
      <c r="G24" s="153">
        <v>21333</v>
      </c>
      <c r="H24" s="153">
        <v>20944</v>
      </c>
      <c r="I24" s="153">
        <v>13995</v>
      </c>
      <c r="J24" s="153">
        <v>21514</v>
      </c>
      <c r="K24" s="153">
        <v>6711</v>
      </c>
      <c r="L24" s="153">
        <v>11861</v>
      </c>
      <c r="M24" s="153"/>
    </row>
    <row r="25" spans="2:13" ht="13.9" x14ac:dyDescent="0.4">
      <c r="B25" s="97" t="s">
        <v>110</v>
      </c>
      <c r="C25" s="153">
        <v>-13105</v>
      </c>
      <c r="D25" s="153">
        <v>46237</v>
      </c>
      <c r="E25" s="153">
        <f>15889+8265+3463</f>
        <v>27617</v>
      </c>
      <c r="F25" s="153">
        <f>-43645-14751-13320</f>
        <v>-71716</v>
      </c>
      <c r="G25" s="153">
        <f>5624+5017-39536</f>
        <v>-28895</v>
      </c>
      <c r="H25" s="153">
        <f>34705+9280-46421</f>
        <v>-2436</v>
      </c>
      <c r="I25" s="153">
        <f>-1141+2779-66156</f>
        <v>-64518</v>
      </c>
      <c r="J25" s="153">
        <f>22638-5281-23326</f>
        <v>-5969</v>
      </c>
      <c r="K25" s="153">
        <f>-36256-5581+37400</f>
        <v>-4437</v>
      </c>
      <c r="L25" s="153">
        <f>-59215-2651+27333</f>
        <v>-34533</v>
      </c>
      <c r="M25" s="153"/>
    </row>
    <row r="26" spans="2:13" ht="13.9" x14ac:dyDescent="0.4">
      <c r="B26" s="97" t="s">
        <v>105</v>
      </c>
      <c r="C26" s="153">
        <v>247452</v>
      </c>
      <c r="D26" s="153">
        <v>238036</v>
      </c>
      <c r="E26" s="153">
        <f>184636+11196+5483+3428</f>
        <v>204743</v>
      </c>
      <c r="F26" s="153">
        <f>178648+11272+5078+3513</f>
        <v>198511</v>
      </c>
      <c r="G26" s="153">
        <f>63194+128684+11977+5259+2733</f>
        <v>211847</v>
      </c>
      <c r="H26" s="153">
        <f>61540+130730+4630+5455</f>
        <v>202355</v>
      </c>
      <c r="I26" s="153">
        <f>209913+4379+5140</f>
        <v>219432</v>
      </c>
      <c r="J26" s="153">
        <f>200053+4307+5291</f>
        <v>209651</v>
      </c>
      <c r="K26" s="153">
        <f>169201+4166+4491</f>
        <v>177858</v>
      </c>
      <c r="L26" s="153">
        <f>165344+4154+4483</f>
        <v>173981</v>
      </c>
      <c r="M26" s="153"/>
    </row>
    <row r="27" spans="2:13" ht="13.9" x14ac:dyDescent="0.4">
      <c r="B27" s="97" t="s">
        <v>108</v>
      </c>
      <c r="C27" s="153">
        <v>282519</v>
      </c>
      <c r="D27" s="153">
        <v>243752</v>
      </c>
      <c r="E27" s="153">
        <v>251178</v>
      </c>
      <c r="F27" s="153">
        <v>246493</v>
      </c>
      <c r="G27" s="153">
        <v>296776</v>
      </c>
      <c r="H27" s="153">
        <v>256106</v>
      </c>
      <c r="I27" s="153">
        <v>216227</v>
      </c>
      <c r="J27" s="153">
        <v>172386</v>
      </c>
      <c r="K27" s="153">
        <v>202238</v>
      </c>
      <c r="L27" s="153">
        <v>291729</v>
      </c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118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153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117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142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143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141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3.9" x14ac:dyDescent="0.4">
      <c r="B40" s="3" t="s">
        <v>38</v>
      </c>
      <c r="C40" s="59">
        <v>238880</v>
      </c>
      <c r="D40" s="60">
        <v>0.9</v>
      </c>
      <c r="E40" s="113"/>
    </row>
    <row r="41" spans="2:13" ht="13.9" x14ac:dyDescent="0.4">
      <c r="B41" s="1" t="s">
        <v>140</v>
      </c>
      <c r="C41" s="59"/>
      <c r="D41" s="60">
        <v>0.8</v>
      </c>
      <c r="E41" s="113"/>
    </row>
    <row r="42" spans="2:13" ht="13.9" x14ac:dyDescent="0.4">
      <c r="B42" s="3" t="s">
        <v>118</v>
      </c>
      <c r="C42" s="59">
        <v>142879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9895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164</v>
      </c>
      <c r="C45" s="59">
        <v>11851</v>
      </c>
      <c r="D45" s="60">
        <f>D42</f>
        <v>0.6</v>
      </c>
      <c r="E45" s="113"/>
    </row>
    <row r="46" spans="2:13" ht="13.9" x14ac:dyDescent="0.4">
      <c r="B46" s="3" t="s">
        <v>119</v>
      </c>
      <c r="C46" s="59">
        <v>24847</v>
      </c>
      <c r="D46" s="60">
        <v>0.1</v>
      </c>
      <c r="E46" s="113"/>
    </row>
    <row r="47" spans="2:13" ht="13.9" x14ac:dyDescent="0.4">
      <c r="B47" s="3" t="s">
        <v>47</v>
      </c>
      <c r="C47" s="59">
        <v>182674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121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>
        <v>61345</v>
      </c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165</v>
      </c>
      <c r="C55" s="59">
        <v>693</v>
      </c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292606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201156</v>
      </c>
      <c r="D59" s="60">
        <f>D57</f>
        <v>0.1</v>
      </c>
      <c r="E59" s="230" t="s">
        <v>46</v>
      </c>
    </row>
    <row r="60" spans="2:5" ht="13.9" x14ac:dyDescent="0.4">
      <c r="B60" s="3" t="s">
        <v>120</v>
      </c>
      <c r="C60" s="59">
        <v>1413348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91529</v>
      </c>
      <c r="D62" s="60">
        <v>0.05</v>
      </c>
      <c r="E62" s="113"/>
    </row>
    <row r="63" spans="2:5" ht="13.9" x14ac:dyDescent="0.4">
      <c r="B63" s="3" t="s">
        <v>75</v>
      </c>
      <c r="C63" s="59">
        <v>24707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71887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40594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11824</v>
      </c>
    </row>
    <row r="70" spans="2:3" ht="14.25" thickBot="1" x14ac:dyDescent="0.45">
      <c r="B70" s="80" t="s">
        <v>16</v>
      </c>
      <c r="C70" s="83">
        <v>716641</v>
      </c>
    </row>
    <row r="71" spans="2:3" ht="14.25" thickTop="1" x14ac:dyDescent="0.4">
      <c r="B71" s="3" t="s">
        <v>62</v>
      </c>
      <c r="C71" s="59">
        <v>70126</v>
      </c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11000</v>
      </c>
    </row>
    <row r="75" spans="2:3" ht="14.25" thickBot="1" x14ac:dyDescent="0.45">
      <c r="B75" s="80" t="s">
        <v>85</v>
      </c>
      <c r="C75" s="83">
        <v>373503</v>
      </c>
    </row>
    <row r="76" spans="2:3" ht="14.25" thickTop="1" x14ac:dyDescent="0.4">
      <c r="B76" s="73" t="s">
        <v>231</v>
      </c>
      <c r="C76" s="59">
        <v>1489904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31" zoomScaleNormal="100" workbookViewId="0">
      <selection activeCell="B38" sqref="B3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203</v>
      </c>
      <c r="C3" s="253" t="str">
        <f>Inputs!C4</f>
        <v>0857.HK</v>
      </c>
      <c r="D3" s="254"/>
      <c r="E3" s="87"/>
      <c r="F3" s="3" t="s">
        <v>1</v>
      </c>
      <c r="G3" s="133">
        <v>5.6500000953674316</v>
      </c>
      <c r="H3" s="135" t="s">
        <v>2</v>
      </c>
    </row>
    <row r="4" spans="1:10" ht="15.75" customHeight="1" x14ac:dyDescent="0.4">
      <c r="B4" s="35" t="s">
        <v>204</v>
      </c>
      <c r="C4" s="255" t="str">
        <f>Inputs!C5</f>
        <v>中國石油股份</v>
      </c>
      <c r="D4" s="256"/>
      <c r="E4" s="87"/>
      <c r="F4" s="3" t="s">
        <v>3</v>
      </c>
      <c r="G4" s="259">
        <f>Inputs!C10</f>
        <v>183020977818</v>
      </c>
      <c r="H4" s="259"/>
      <c r="I4" s="39"/>
    </row>
    <row r="5" spans="1:10" ht="15.75" customHeight="1" x14ac:dyDescent="0.4">
      <c r="B5" s="3" t="s">
        <v>169</v>
      </c>
      <c r="C5" s="257">
        <f>Inputs!C6</f>
        <v>45605</v>
      </c>
      <c r="D5" s="258"/>
      <c r="E5" s="34"/>
      <c r="F5" s="35" t="s">
        <v>100</v>
      </c>
      <c r="G5" s="251">
        <f>G3*G4/1000000</f>
        <v>1034068.5421259406</v>
      </c>
      <c r="H5" s="251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2" t="str">
        <f>Inputs!C11</f>
        <v>CNY</v>
      </c>
      <c r="H6" s="252"/>
      <c r="I6" s="38"/>
    </row>
    <row r="7" spans="1:10" ht="15.75" customHeight="1" x14ac:dyDescent="0.4">
      <c r="B7" s="86" t="s">
        <v>201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199</v>
      </c>
      <c r="F9" s="144" t="s">
        <v>193</v>
      </c>
    </row>
    <row r="10" spans="1:10" ht="15.75" customHeight="1" x14ac:dyDescent="0.4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45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4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4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45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4">
      <c r="B17" s="87" t="s">
        <v>188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4">
      <c r="B20" s="138" t="s">
        <v>175</v>
      </c>
      <c r="C20" s="177">
        <f>Fin_Analysis!I75</f>
        <v>0.87</v>
      </c>
      <c r="F20" s="87" t="s">
        <v>220</v>
      </c>
      <c r="G20" s="178">
        <v>0.15</v>
      </c>
    </row>
    <row r="21" spans="1:8" ht="15.75" customHeight="1" x14ac:dyDescent="0.4">
      <c r="B21" s="138" t="s">
        <v>252</v>
      </c>
      <c r="C21" s="177">
        <f>Fin_Analysis!I77</f>
        <v>5.04E-2</v>
      </c>
      <c r="F21" s="87"/>
      <c r="G21" s="29"/>
    </row>
    <row r="22" spans="1:8" ht="15.75" customHeight="1" x14ac:dyDescent="0.4">
      <c r="B22" s="138" t="s">
        <v>176</v>
      </c>
      <c r="C22" s="177">
        <f>Fin_Analysis!I79</f>
        <v>7.9916652607163307E-3</v>
      </c>
      <c r="F22" s="143" t="s">
        <v>192</v>
      </c>
    </row>
    <row r="23" spans="1:8" ht="15.75" customHeight="1" x14ac:dyDescent="0.4">
      <c r="B23" s="138" t="s">
        <v>253</v>
      </c>
      <c r="C23" s="177">
        <f>Fin_Analysis!I80</f>
        <v>1.8938483141216308E-2</v>
      </c>
      <c r="F23" s="141" t="s">
        <v>196</v>
      </c>
      <c r="G23" s="183">
        <f>G3/(Data!C37*Data!C4/Common_Shares*Exchange_Rate)</f>
        <v>0.57273546773682849</v>
      </c>
    </row>
    <row r="24" spans="1:8" ht="15.75" customHeight="1" x14ac:dyDescent="0.4">
      <c r="B24" s="138" t="s">
        <v>177</v>
      </c>
      <c r="C24" s="177">
        <f>Fin_Analysis!I81</f>
        <v>0</v>
      </c>
      <c r="F24" s="141" t="s">
        <v>181</v>
      </c>
      <c r="G24" s="184">
        <f>(Fin_Analysis!H86*G7)/G3</f>
        <v>0.10761352065449219</v>
      </c>
    </row>
    <row r="25" spans="1:8" ht="15.75" customHeight="1" x14ac:dyDescent="0.4">
      <c r="B25" s="138" t="s">
        <v>200</v>
      </c>
      <c r="C25" s="177">
        <f>Fin_Analysis!I82</f>
        <v>6.8684548583665562E-3</v>
      </c>
      <c r="F25" s="141" t="s">
        <v>180</v>
      </c>
      <c r="G25" s="177">
        <f>Fin_Analysis!I88</f>
        <v>0.79627102561944574</v>
      </c>
    </row>
    <row r="26" spans="1:8" ht="15.75" customHeight="1" x14ac:dyDescent="0.4">
      <c r="B26" s="139" t="s">
        <v>179</v>
      </c>
      <c r="C26" s="177">
        <f>Fin_Analysis!I83</f>
        <v>4.5801396739700823E-2</v>
      </c>
      <c r="F26" s="142" t="s">
        <v>202</v>
      </c>
      <c r="G26" s="184">
        <f>Fin_Analysis!H88*Exchange_Rate/G3</f>
        <v>8.5689528462071909E-2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172</v>
      </c>
      <c r="D28" s="43" t="s">
        <v>173</v>
      </c>
      <c r="E28" s="58"/>
      <c r="F28" s="53" t="s">
        <v>263</v>
      </c>
      <c r="G28" s="249" t="s">
        <v>266</v>
      </c>
      <c r="H28" s="249"/>
    </row>
    <row r="29" spans="1:8" ht="15.75" customHeight="1" x14ac:dyDescent="0.4">
      <c r="B29" s="87" t="s">
        <v>174</v>
      </c>
      <c r="C29" s="131">
        <f>IF(Fin_Analysis!C108="Profit",Fin_Analysis!E100,IF(Fin_Analysis!C108="Dividend",Fin_Analysis!D103,Fin_Analysis!D106))</f>
        <v>4.6541181374353702</v>
      </c>
      <c r="D29" s="130">
        <f>IF(Fin_Analysis!C108="Profit",Fin_Analysis!I100,IF(Fin_Analysis!C108="Dividend",Fin_Analysis!I103,Fin_Analysis!I106))</f>
        <v>6.8442913785814268</v>
      </c>
      <c r="E29" s="87"/>
      <c r="F29" s="132">
        <f>IF(Fin_Analysis!C108="Profit",Fin_Analysis!F100,IF(Fin_Analysis!C108="Dividend",Fin_Analysis!F103,Fin_Analysis!F106))</f>
        <v>5.4754331028651411</v>
      </c>
      <c r="G29" s="250">
        <f>IF(Fin_Analysis!C108="Profit",Fin_Analysis!E100,IF(Fin_Analysis!C108="Dividend",Fin_Analysis!E103,Fin_Analysis!E106))</f>
        <v>2.9499481460341146</v>
      </c>
      <c r="H29" s="250"/>
    </row>
    <row r="30" spans="1:8" ht="15.75" customHeight="1" x14ac:dyDescent="0.4"/>
    <row r="31" spans="1:8" ht="15.75" customHeight="1" x14ac:dyDescent="0.4">
      <c r="A31" s="5"/>
      <c r="B31" s="6" t="s">
        <v>241</v>
      </c>
      <c r="C31"/>
    </row>
    <row r="32" spans="1:8" ht="15.75" customHeight="1" x14ac:dyDescent="0.4">
      <c r="A32"/>
      <c r="B32" s="203" t="s">
        <v>242</v>
      </c>
      <c r="C32" s="242"/>
    </row>
    <row r="33" spans="1:3" ht="15.75" customHeight="1" x14ac:dyDescent="0.4">
      <c r="A33"/>
      <c r="B33" s="20" t="s">
        <v>243</v>
      </c>
      <c r="C33" s="243" t="s">
        <v>254</v>
      </c>
    </row>
    <row r="34" spans="1:3" ht="15.75" customHeight="1" x14ac:dyDescent="0.4">
      <c r="A34"/>
      <c r="B34" s="19" t="s">
        <v>245</v>
      </c>
      <c r="C34" s="244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203" t="s">
        <v>246</v>
      </c>
      <c r="C35" s="242"/>
    </row>
    <row r="36" spans="1:3" ht="15.75" customHeight="1" x14ac:dyDescent="0.4">
      <c r="A36"/>
      <c r="B36" s="20" t="s">
        <v>267</v>
      </c>
      <c r="C36" s="243" t="s">
        <v>255</v>
      </c>
    </row>
    <row r="37" spans="1:3" ht="15.75" customHeight="1" x14ac:dyDescent="0.4">
      <c r="A37"/>
      <c r="B37" s="20" t="s">
        <v>268</v>
      </c>
      <c r="C37" s="243" t="s">
        <v>257</v>
      </c>
    </row>
    <row r="38" spans="1:3" ht="15.75" customHeight="1" x14ac:dyDescent="0.4">
      <c r="A38"/>
      <c r="B38" s="203" t="s">
        <v>247</v>
      </c>
      <c r="C38" s="242"/>
    </row>
    <row r="39" spans="1:3" ht="15.75" customHeight="1" x14ac:dyDescent="0.4">
      <c r="A39"/>
      <c r="B39" s="19" t="s">
        <v>248</v>
      </c>
      <c r="C39" s="243" t="s">
        <v>255</v>
      </c>
    </row>
    <row r="40" spans="1:3" ht="15.75" customHeight="1" x14ac:dyDescent="0.4">
      <c r="A40"/>
      <c r="B40" s="1" t="s">
        <v>256</v>
      </c>
      <c r="C40" s="243" t="s">
        <v>244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249</v>
      </c>
      <c r="C42"/>
    </row>
    <row r="43" spans="1:3" ht="65.650000000000006" x14ac:dyDescent="0.4">
      <c r="A43"/>
      <c r="B43" s="245" t="s">
        <v>250</v>
      </c>
      <c r="C43" s="246" t="s">
        <v>251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6" zoomScaleNormal="100" workbookViewId="0">
      <pane xSplit="2" topLeftCell="C1" activePane="topRight" state="frozen"/>
      <selection activeCell="A4" sqref="A4"/>
      <selection pane="topRight" activeCell="C39" sqref="C3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209</v>
      </c>
      <c r="F3" s="85">
        <f>L12</f>
        <v>172032</v>
      </c>
      <c r="G3" s="85">
        <f>C12</f>
        <v>266372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210</v>
      </c>
      <c r="F4" s="93">
        <f>(G3/F3)^(1/H3)-1</f>
        <v>4.4691192526976842E-2</v>
      </c>
      <c r="J4" s="87"/>
    </row>
    <row r="5" spans="1:14" ht="15.75" customHeight="1" x14ac:dyDescent="0.4">
      <c r="A5" s="16"/>
      <c r="B5" s="116" t="s">
        <v>138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3011012</v>
      </c>
      <c r="D6" s="209">
        <f>IF(Inputs!D19="","",Inputs!D19)</f>
        <v>3239167</v>
      </c>
      <c r="E6" s="209">
        <f>IF(Inputs!E19="","",Inputs!E19)</f>
        <v>2614349</v>
      </c>
      <c r="F6" s="209">
        <f>IF(Inputs!F19="","",Inputs!F19)</f>
        <v>1933836</v>
      </c>
      <c r="G6" s="209">
        <f>IF(Inputs!G19="","",Inputs!G19)</f>
        <v>2516810</v>
      </c>
      <c r="H6" s="209">
        <f>IF(Inputs!H19="","",Inputs!H19)</f>
        <v>2374934</v>
      </c>
      <c r="I6" s="209">
        <f>IF(Inputs!I19="","",Inputs!I19)</f>
        <v>2015890</v>
      </c>
      <c r="J6" s="209">
        <f>IF(Inputs!J19="","",Inputs!J19)</f>
        <v>1616903</v>
      </c>
      <c r="K6" s="209">
        <f>IF(Inputs!K19="","",Inputs!K19)</f>
        <v>1725428</v>
      </c>
      <c r="L6" s="209">
        <f>IF(Inputs!L19="","",Inputs!L19)</f>
        <v>2282962</v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8">
        <f>IF(Inputs!C20="","",Inputs!C20)</f>
        <v>2597400</v>
      </c>
      <c r="D8" s="208">
        <f>IF(Inputs!D20="","",Inputs!D20)</f>
        <v>2804756</v>
      </c>
      <c r="E8" s="208">
        <f>IF(Inputs!E20="","",Inputs!E20)</f>
        <v>2298168</v>
      </c>
      <c r="F8" s="208">
        <f>IF(Inputs!F20="","",Inputs!F20)</f>
        <v>1741508</v>
      </c>
      <c r="G8" s="208">
        <f>IF(Inputs!G20="","",Inputs!G20)</f>
        <v>2229308</v>
      </c>
      <c r="H8" s="208">
        <f>IF(Inputs!H20="","",Inputs!H20)</f>
        <v>2058853</v>
      </c>
      <c r="I8" s="208">
        <f>IF(Inputs!I20="","",Inputs!I20)</f>
        <v>1780340</v>
      </c>
      <c r="J8" s="208">
        <f>IF(Inputs!J20="","",Inputs!J20)</f>
        <v>1423553</v>
      </c>
      <c r="K8" s="208">
        <f>IF(Inputs!K20="","",Inputs!K20)</f>
        <v>1500674</v>
      </c>
      <c r="L8" s="208">
        <f>IF(Inputs!L20="","",Inputs!L20)</f>
        <v>1963128</v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4">
        <f t="shared" ref="C9:M9" si="2">IF(C6="","",(C6-C8))</f>
        <v>413612</v>
      </c>
      <c r="D9" s="154">
        <f t="shared" si="2"/>
        <v>434411</v>
      </c>
      <c r="E9" s="154">
        <f t="shared" si="2"/>
        <v>316181</v>
      </c>
      <c r="F9" s="154">
        <f t="shared" si="2"/>
        <v>192328</v>
      </c>
      <c r="G9" s="154">
        <f t="shared" si="2"/>
        <v>287502</v>
      </c>
      <c r="H9" s="154">
        <f t="shared" si="2"/>
        <v>316081</v>
      </c>
      <c r="I9" s="154">
        <f t="shared" si="2"/>
        <v>235550</v>
      </c>
      <c r="J9" s="154">
        <f t="shared" si="2"/>
        <v>193350</v>
      </c>
      <c r="K9" s="154">
        <f t="shared" si="2"/>
        <v>224754</v>
      </c>
      <c r="L9" s="154">
        <f t="shared" si="2"/>
        <v>319834</v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8">
        <f>IF(Inputs!C21="","",Inputs!C21)</f>
        <v>125283</v>
      </c>
      <c r="D10" s="208">
        <f>IF(Inputs!D21="","",Inputs!D21)</f>
        <v>118875</v>
      </c>
      <c r="E10" s="208">
        <f>IF(Inputs!E21="","",Inputs!E21)</f>
        <v>122996</v>
      </c>
      <c r="F10" s="208">
        <f>IF(Inputs!F21="","",Inputs!F21)</f>
        <v>126791</v>
      </c>
      <c r="G10" s="208">
        <f>IF(Inputs!G21="","",Inputs!G21)</f>
        <v>135865</v>
      </c>
      <c r="H10" s="208">
        <f>IF(Inputs!H21="","",Inputs!H21)</f>
        <v>137231</v>
      </c>
      <c r="I10" s="208">
        <f>IF(Inputs!I21="","",Inputs!I21)</f>
        <v>143632</v>
      </c>
      <c r="J10" s="208">
        <f>IF(Inputs!J21="","",Inputs!J21)</f>
        <v>139934</v>
      </c>
      <c r="K10" s="208">
        <f>IF(Inputs!K21="","",Inputs!K21)</f>
        <v>142620</v>
      </c>
      <c r="L10" s="208">
        <f>IF(Inputs!L21="","",Inputs!L21)</f>
        <v>147802</v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8">
        <f>IF(Inputs!C22="","",Inputs!C22)</f>
        <v>21957</v>
      </c>
      <c r="D11" s="208">
        <f>IF(Inputs!D22="","",Inputs!D22)</f>
        <v>20016</v>
      </c>
      <c r="E11" s="208">
        <f>IF(Inputs!E22="","",Inputs!E22)</f>
        <v>16729</v>
      </c>
      <c r="F11" s="208">
        <f>IF(Inputs!F22="","",Inputs!F22)</f>
        <v>15746</v>
      </c>
      <c r="G11" s="208">
        <f>IF(Inputs!G22="","",Inputs!G22)</f>
        <v>15666</v>
      </c>
      <c r="H11" s="208">
        <f>IF(Inputs!H22="","",Inputs!H22)</f>
        <v>12826</v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4">
      <c r="A12" s="4"/>
      <c r="B12" s="98" t="s">
        <v>259</v>
      </c>
      <c r="C12" s="154">
        <f>IF(C6="","",(C9-C10-MAX(C11,0)))</f>
        <v>266372</v>
      </c>
      <c r="D12" s="154">
        <f t="shared" ref="D12:M12" si="3">IF(D6="","",(D9-D10-MAX(D11,0)))</f>
        <v>295520</v>
      </c>
      <c r="E12" s="154">
        <f t="shared" si="3"/>
        <v>176456</v>
      </c>
      <c r="F12" s="154">
        <f t="shared" si="3"/>
        <v>49791</v>
      </c>
      <c r="G12" s="154">
        <f t="shared" si="3"/>
        <v>135971</v>
      </c>
      <c r="H12" s="154">
        <f t="shared" si="3"/>
        <v>166024</v>
      </c>
      <c r="I12" s="154">
        <f t="shared" si="3"/>
        <v>91918</v>
      </c>
      <c r="J12" s="154">
        <f t="shared" si="3"/>
        <v>53416</v>
      </c>
      <c r="K12" s="154">
        <f t="shared" si="3"/>
        <v>82134</v>
      </c>
      <c r="L12" s="154">
        <f t="shared" si="3"/>
        <v>172032</v>
      </c>
      <c r="M12" s="154" t="str">
        <f t="shared" si="3"/>
        <v/>
      </c>
      <c r="N12" s="87"/>
    </row>
    <row r="13" spans="1:14" ht="15.75" customHeight="1" x14ac:dyDescent="0.4">
      <c r="A13" s="4"/>
      <c r="B13" s="97" t="s">
        <v>125</v>
      </c>
      <c r="C13" s="208">
        <f>IF(Inputs!C23="","",Inputs!C23)</f>
        <v>24063</v>
      </c>
      <c r="D13" s="208">
        <f>IF(Inputs!D23="","",Inputs!D23)</f>
        <v>21554</v>
      </c>
      <c r="E13" s="208">
        <f>IF(Inputs!E23="","",Inputs!E23)</f>
        <v>19739</v>
      </c>
      <c r="F13" s="208">
        <f>IF(Inputs!F23="","",Inputs!F23)</f>
        <v>26528</v>
      </c>
      <c r="G13" s="208">
        <f>IF(Inputs!G23="","",Inputs!G23)</f>
        <v>30409</v>
      </c>
      <c r="H13" s="208">
        <f>IF(Inputs!H23="","",Inputs!H23)</f>
        <v>22718</v>
      </c>
      <c r="I13" s="208">
        <f>IF(Inputs!I23="","",Inputs!I23)</f>
        <v>21648</v>
      </c>
      <c r="J13" s="208">
        <f>IF(Inputs!J23="","",Inputs!J23)</f>
        <v>20652</v>
      </c>
      <c r="K13" s="208">
        <f>IF(Inputs!K23="","",Inputs!K23)</f>
        <v>23826</v>
      </c>
      <c r="L13" s="208">
        <f>IF(Inputs!L23="","",Inputs!L23)</f>
        <v>24877</v>
      </c>
      <c r="M13" s="208" t="str">
        <f>IF(Inputs!M23="","",Inputs!M23)</f>
        <v/>
      </c>
      <c r="N13" s="87"/>
    </row>
    <row r="14" spans="1:14" ht="15.75" customHeight="1" x14ac:dyDescent="0.4">
      <c r="A14" s="4"/>
      <c r="B14" s="99" t="s">
        <v>111</v>
      </c>
      <c r="C14" s="208">
        <f>IF(Inputs!C24="","",Inputs!C24)</f>
        <v>20681</v>
      </c>
      <c r="D14" s="208">
        <f>IF(Inputs!D24="","",Inputs!D24)</f>
        <v>20705</v>
      </c>
      <c r="E14" s="208">
        <f>IF(Inputs!E24="","",Inputs!E24)</f>
        <v>22526</v>
      </c>
      <c r="F14" s="208">
        <f>IF(Inputs!F24="","",Inputs!F24)</f>
        <v>14479</v>
      </c>
      <c r="G14" s="208">
        <f>IF(Inputs!G24="","",Inputs!G24)</f>
        <v>21333</v>
      </c>
      <c r="H14" s="208">
        <f>IF(Inputs!H24="","",Inputs!H24)</f>
        <v>20944</v>
      </c>
      <c r="I14" s="208">
        <f>IF(Inputs!I24="","",Inputs!I24)</f>
        <v>13995</v>
      </c>
      <c r="J14" s="208">
        <f>IF(Inputs!J24="","",Inputs!J24)</f>
        <v>21514</v>
      </c>
      <c r="K14" s="208">
        <f>IF(Inputs!K24="","",Inputs!K24)</f>
        <v>6711</v>
      </c>
      <c r="L14" s="208">
        <f>IF(Inputs!L24="","",Inputs!L24)</f>
        <v>11861</v>
      </c>
      <c r="M14" s="208" t="str">
        <f>IF(Inputs!M24="","",Inputs!M24)</f>
        <v/>
      </c>
      <c r="N14" s="87"/>
    </row>
    <row r="15" spans="1:14" ht="15.75" customHeight="1" x14ac:dyDescent="0.4">
      <c r="A15" s="4"/>
      <c r="B15" s="236" t="s">
        <v>264</v>
      </c>
      <c r="C15" s="237">
        <f>IF(C6="","",C12-MAX(C13,0)-MAX(C14,0)/(1-Fin_Analysis!$I$84))</f>
        <v>214734.33333333334</v>
      </c>
      <c r="D15" s="237">
        <f>IF(D6="","",D12-MAX(D13,0)-MAX(D14,0)/(1-Fin_Analysis!$I$84))</f>
        <v>246359.33333333334</v>
      </c>
      <c r="E15" s="237">
        <f>IF(E6="","",E12-MAX(E13,0)-MAX(E14,0)/(1-Fin_Analysis!$I$84))</f>
        <v>126682.33333333333</v>
      </c>
      <c r="F15" s="237">
        <f>IF(F6="","",F12-MAX(F13,0)-MAX(F14,0)/(1-Fin_Analysis!$I$84))</f>
        <v>3957.6666666666679</v>
      </c>
      <c r="G15" s="237">
        <f>IF(G6="","",G12-MAX(G13,0)-MAX(G14,0)/(1-Fin_Analysis!$I$84))</f>
        <v>77118</v>
      </c>
      <c r="H15" s="237">
        <f>IF(H6="","",H12-MAX(H13,0)-MAX(H14,0)/(1-Fin_Analysis!$I$84))</f>
        <v>115380.66666666667</v>
      </c>
      <c r="I15" s="237">
        <f>IF(I6="","",I12-MAX(I13,0)-MAX(I14,0)/(1-Fin_Analysis!$I$84))</f>
        <v>51610</v>
      </c>
      <c r="J15" s="237">
        <f>IF(J6="","",J12-MAX(J13,0)-MAX(J14,0)/(1-Fin_Analysis!$I$84))</f>
        <v>4078.6666666666679</v>
      </c>
      <c r="K15" s="237">
        <f>IF(K6="","",K12-MAX(K13,0)-MAX(K14,0)/(1-Fin_Analysis!$I$84))</f>
        <v>49360</v>
      </c>
      <c r="L15" s="237">
        <f>IF(L6="","",L12-MAX(L13,0)-MAX(L14,0)/(1-Fin_Analysis!$I$84))</f>
        <v>131340.33333333334</v>
      </c>
      <c r="M15" s="237" t="str">
        <f>IF(M6="","",M12-MAX(M13,0)-MAX(M14,0)/(1-Fin_Analysis!$I$84))</f>
        <v/>
      </c>
      <c r="N15" s="87"/>
    </row>
    <row r="16" spans="1:14" ht="15.75" customHeight="1" x14ac:dyDescent="0.4">
      <c r="A16" s="4"/>
      <c r="B16" s="248" t="s">
        <v>265</v>
      </c>
      <c r="C16" s="238">
        <f>IF(D15="","",IF(ABS(C15+D15)=ABS(C15)+ABS(D15),IF(C15&lt;0,-1,1)*(C15-D15)/D15,"Turn"))</f>
        <v>-0.1283694007939622</v>
      </c>
      <c r="D16" s="238">
        <f t="shared" ref="D16:M16" si="4">IF(E15="","",IF(ABS(D15+E15)=ABS(D15)+ABS(E15),IF(D15&lt;0,-1,1)*(D15-E15)/E15,"Turn"))</f>
        <v>0.94470157638397367</v>
      </c>
      <c r="E16" s="238">
        <f t="shared" si="4"/>
        <v>31.009348942979859</v>
      </c>
      <c r="F16" s="238">
        <f t="shared" si="4"/>
        <v>-0.94868037725736309</v>
      </c>
      <c r="G16" s="238">
        <f t="shared" si="4"/>
        <v>-0.33162112658966553</v>
      </c>
      <c r="H16" s="238">
        <f t="shared" si="4"/>
        <v>1.2356261706387652</v>
      </c>
      <c r="I16" s="238">
        <f t="shared" si="4"/>
        <v>11.653644982020264</v>
      </c>
      <c r="J16" s="238">
        <f t="shared" si="4"/>
        <v>-0.91736898973527814</v>
      </c>
      <c r="K16" s="238">
        <f t="shared" si="4"/>
        <v>-0.62418246743193895</v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4">
      <c r="A17" s="4"/>
      <c r="B17" s="94" t="s">
        <v>99</v>
      </c>
      <c r="C17" s="155">
        <f t="shared" ref="C17:M17" si="5">IF(OR(C6="",C18=""),"",C18/C6)</f>
        <v>8.2182336038514631E-2</v>
      </c>
      <c r="D17" s="155">
        <f t="shared" si="5"/>
        <v>7.3486794598734792E-2</v>
      </c>
      <c r="E17" s="155">
        <f t="shared" si="5"/>
        <v>7.8315098710998413E-2</v>
      </c>
      <c r="F17" s="155">
        <f t="shared" si="5"/>
        <v>0.1026514140806149</v>
      </c>
      <c r="G17" s="155">
        <f t="shared" si="5"/>
        <v>8.41728219452402E-2</v>
      </c>
      <c r="H17" s="155">
        <f t="shared" si="5"/>
        <v>8.5204473050619511E-2</v>
      </c>
      <c r="I17" s="155">
        <f t="shared" si="5"/>
        <v>0.10885117739559202</v>
      </c>
      <c r="J17" s="155">
        <f t="shared" si="5"/>
        <v>0.12966207620370548</v>
      </c>
      <c r="K17" s="155">
        <f t="shared" si="5"/>
        <v>0.10308051103842061</v>
      </c>
      <c r="L17" s="155">
        <f t="shared" si="5"/>
        <v>7.6208452002267224E-2</v>
      </c>
      <c r="M17" s="155" t="str">
        <f t="shared" si="5"/>
        <v/>
      </c>
      <c r="N17" s="87"/>
    </row>
    <row r="18" spans="1:14" ht="15.75" customHeight="1" x14ac:dyDescent="0.4">
      <c r="A18" s="4"/>
      <c r="B18" s="97" t="s">
        <v>105</v>
      </c>
      <c r="C18" s="208">
        <f>IF(Inputs!C26="","",Inputs!C26)</f>
        <v>247452</v>
      </c>
      <c r="D18" s="208">
        <f>IF(Inputs!D26="","",Inputs!D26)</f>
        <v>238036</v>
      </c>
      <c r="E18" s="208">
        <f>IF(Inputs!E26="","",Inputs!E26)</f>
        <v>204743</v>
      </c>
      <c r="F18" s="208">
        <f>IF(Inputs!F26="","",Inputs!F26)</f>
        <v>198511</v>
      </c>
      <c r="G18" s="208">
        <f>IF(Inputs!G26="","",Inputs!G26)</f>
        <v>211847</v>
      </c>
      <c r="H18" s="208">
        <f>IF(Inputs!H26="","",Inputs!H26)</f>
        <v>202355</v>
      </c>
      <c r="I18" s="208">
        <f>IF(Inputs!I26="","",Inputs!I26)</f>
        <v>219432</v>
      </c>
      <c r="J18" s="208">
        <f>IF(Inputs!J26="","",Inputs!J26)</f>
        <v>209651</v>
      </c>
      <c r="K18" s="208">
        <f>IF(Inputs!K26="","",Inputs!K26)</f>
        <v>177858</v>
      </c>
      <c r="L18" s="208">
        <f>IF(Inputs!L26="","",Inputs!L26)</f>
        <v>173981</v>
      </c>
      <c r="M18" s="208" t="str">
        <f>IF(Inputs!M26="","",Inputs!M26)</f>
        <v/>
      </c>
      <c r="N18" s="87"/>
    </row>
    <row r="19" spans="1:14" ht="15.75" customHeight="1" x14ac:dyDescent="0.4">
      <c r="A19" s="4"/>
      <c r="B19" s="97" t="s">
        <v>261</v>
      </c>
      <c r="C19" s="155">
        <f t="shared" ref="C19:M19" si="6">IF(C6="","",MAX(C20,0)/C6)</f>
        <v>9.3828586535025432E-2</v>
      </c>
      <c r="D19" s="155">
        <f t="shared" si="6"/>
        <v>7.525144581924921E-2</v>
      </c>
      <c r="E19" s="155">
        <f t="shared" si="6"/>
        <v>9.6076690602517112E-2</v>
      </c>
      <c r="F19" s="155">
        <f t="shared" si="6"/>
        <v>0.1274632388682391</v>
      </c>
      <c r="G19" s="155">
        <f t="shared" si="6"/>
        <v>0.11791752257818429</v>
      </c>
      <c r="H19" s="155">
        <f t="shared" si="6"/>
        <v>0.10783710199946608</v>
      </c>
      <c r="I19" s="155">
        <f t="shared" si="6"/>
        <v>0.10726130890078328</v>
      </c>
      <c r="J19" s="155">
        <f t="shared" si="6"/>
        <v>0.10661492989993834</v>
      </c>
      <c r="K19" s="155">
        <f t="shared" si="6"/>
        <v>0.1172103385362936</v>
      </c>
      <c r="L19" s="155">
        <f t="shared" si="6"/>
        <v>0.12778530698277063</v>
      </c>
      <c r="M19" s="155" t="str">
        <f t="shared" si="6"/>
        <v/>
      </c>
      <c r="N19" s="87"/>
    </row>
    <row r="20" spans="1:14" ht="15.75" customHeight="1" x14ac:dyDescent="0.4">
      <c r="A20" s="4"/>
      <c r="B20" s="97" t="s">
        <v>108</v>
      </c>
      <c r="C20" s="208">
        <f>IF(Inputs!C27="","",Inputs!C27)</f>
        <v>282519</v>
      </c>
      <c r="D20" s="208">
        <f>IF(Inputs!D27="","",Inputs!D27)</f>
        <v>243752</v>
      </c>
      <c r="E20" s="208">
        <f>IF(Inputs!E27="","",Inputs!E27)</f>
        <v>251178</v>
      </c>
      <c r="F20" s="208">
        <f>IF(Inputs!F27="","",Inputs!F27)</f>
        <v>246493</v>
      </c>
      <c r="G20" s="208">
        <f>IF(Inputs!G27="","",Inputs!G27)</f>
        <v>296776</v>
      </c>
      <c r="H20" s="208">
        <f>IF(Inputs!H27="","",Inputs!H27)</f>
        <v>256106</v>
      </c>
      <c r="I20" s="208">
        <f>IF(Inputs!I27="","",Inputs!I27)</f>
        <v>216227</v>
      </c>
      <c r="J20" s="208">
        <f>IF(Inputs!J27="","",Inputs!J27)</f>
        <v>172386</v>
      </c>
      <c r="K20" s="208">
        <f>IF(Inputs!K27="","",Inputs!K27)</f>
        <v>202238</v>
      </c>
      <c r="L20" s="208">
        <f>IF(Inputs!L27="","",Inputs!L27)</f>
        <v>291729</v>
      </c>
      <c r="M20" s="208" t="str">
        <f>IF(Inputs!M27="","",Inputs!M27)</f>
        <v/>
      </c>
      <c r="N20" s="87"/>
    </row>
    <row r="21" spans="1:14" ht="15.75" customHeight="1" x14ac:dyDescent="0.4">
      <c r="A21" s="4"/>
      <c r="B21" s="97" t="s">
        <v>110</v>
      </c>
      <c r="C21" s="208">
        <f>IF(Inputs!C25="","",Inputs!C25)</f>
        <v>-13105</v>
      </c>
      <c r="D21" s="208">
        <f>IF(Inputs!D25="","",Inputs!D25)</f>
        <v>46237</v>
      </c>
      <c r="E21" s="208">
        <f>IF(Inputs!E25="","",Inputs!E25)</f>
        <v>27617</v>
      </c>
      <c r="F21" s="208">
        <f>IF(Inputs!F25="","",Inputs!F25)</f>
        <v>-71716</v>
      </c>
      <c r="G21" s="208">
        <f>IF(Inputs!G25="","",Inputs!G25)</f>
        <v>-28895</v>
      </c>
      <c r="H21" s="208">
        <f>IF(Inputs!H25="","",Inputs!H25)</f>
        <v>-2436</v>
      </c>
      <c r="I21" s="208">
        <f>IF(Inputs!I25="","",Inputs!I25)</f>
        <v>-64518</v>
      </c>
      <c r="J21" s="208">
        <f>IF(Inputs!J25="","",Inputs!J25)</f>
        <v>-5969</v>
      </c>
      <c r="K21" s="208">
        <f>IF(Inputs!K25="","",Inputs!K25)</f>
        <v>-4437</v>
      </c>
      <c r="L21" s="208">
        <f>IF(Inputs!L25="","",Inputs!L25)</f>
        <v>-34533</v>
      </c>
      <c r="M21" s="208" t="str">
        <f>IF(Inputs!M25="","",Inputs!M25)</f>
        <v/>
      </c>
      <c r="N21" s="87"/>
    </row>
    <row r="22" spans="1:14" ht="15.75" customHeight="1" x14ac:dyDescent="0.4">
      <c r="A22" s="4"/>
      <c r="B22" s="94" t="s">
        <v>112</v>
      </c>
      <c r="C22" s="77">
        <f t="shared" ref="C22:M22" si="7">IF(C6="","",C15+MAX(C18,0)-MAX(C20,0)-MAX(C21,0))</f>
        <v>179667.33333333337</v>
      </c>
      <c r="D22" s="77">
        <f t="shared" si="7"/>
        <v>194406.33333333337</v>
      </c>
      <c r="E22" s="77">
        <f t="shared" si="7"/>
        <v>52630.333333333314</v>
      </c>
      <c r="F22" s="77">
        <f t="shared" si="7"/>
        <v>-44024.333333333343</v>
      </c>
      <c r="G22" s="77">
        <f t="shared" si="7"/>
        <v>-7811</v>
      </c>
      <c r="H22" s="77">
        <f t="shared" si="7"/>
        <v>61629.666666666686</v>
      </c>
      <c r="I22" s="77">
        <f t="shared" si="7"/>
        <v>54815</v>
      </c>
      <c r="J22" s="77">
        <f t="shared" si="7"/>
        <v>41343.666666666657</v>
      </c>
      <c r="K22" s="77">
        <f t="shared" si="7"/>
        <v>24980</v>
      </c>
      <c r="L22" s="77">
        <f t="shared" si="7"/>
        <v>13592.333333333372</v>
      </c>
      <c r="M22" s="77" t="str">
        <f t="shared" si="7"/>
        <v/>
      </c>
      <c r="N22" s="87"/>
    </row>
    <row r="23" spans="1:14" ht="15.75" customHeight="1" x14ac:dyDescent="0.4">
      <c r="A23" s="4"/>
      <c r="B23" s="98" t="s">
        <v>113</v>
      </c>
      <c r="C23" s="156">
        <f>IF(D22="","",IF(ABS(C22+D22)=ABS(C22)+ABS(D22),IF(C22&lt;0,-1,1)*(C22-D22)/D22,"Turn"))</f>
        <v>-7.5815431253097018E-2</v>
      </c>
      <c r="D23" s="156">
        <f t="shared" ref="D23:M23" si="8">IF(E22="","",IF(ABS(D22+E22)=ABS(D22)+ABS(E22),IF(D22&lt;0,-1,1)*(D22-E22)/E22,"Turn"))</f>
        <v>2.6938077534501672</v>
      </c>
      <c r="E23" s="156" t="str">
        <f t="shared" si="8"/>
        <v>Turn</v>
      </c>
      <c r="F23" s="156">
        <f t="shared" si="8"/>
        <v>-4.6361968164554277</v>
      </c>
      <c r="G23" s="156" t="str">
        <f t="shared" si="8"/>
        <v>Turn</v>
      </c>
      <c r="H23" s="156">
        <f t="shared" si="8"/>
        <v>0.12432120161756245</v>
      </c>
      <c r="I23" s="156">
        <f t="shared" si="8"/>
        <v>0.32583789536486879</v>
      </c>
      <c r="J23" s="156">
        <f t="shared" si="8"/>
        <v>0.6550707232452625</v>
      </c>
      <c r="K23" s="156">
        <f t="shared" si="8"/>
        <v>0.83780072099467318</v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4">
      <c r="A24" s="4"/>
      <c r="B24" s="100" t="s">
        <v>114</v>
      </c>
      <c r="C24" s="157">
        <f t="shared" ref="C24:M24" si="9">IF(C6="","",C25/C6)</f>
        <v>4.4752561597230442E-2</v>
      </c>
      <c r="D24" s="157">
        <f t="shared" si="9"/>
        <v>4.5013038846098405E-2</v>
      </c>
      <c r="E24" s="157">
        <f t="shared" si="9"/>
        <v>1.5098500620995891E-2</v>
      </c>
      <c r="F24" s="157">
        <f t="shared" si="9"/>
        <v>-1.7073965941269066E-2</v>
      </c>
      <c r="G24" s="157">
        <f t="shared" si="9"/>
        <v>-2.32764888887123E-3</v>
      </c>
      <c r="H24" s="157">
        <f t="shared" si="9"/>
        <v>1.9462540853766891E-2</v>
      </c>
      <c r="I24" s="157">
        <f t="shared" si="9"/>
        <v>2.0393597864962872E-2</v>
      </c>
      <c r="J24" s="157">
        <f t="shared" si="9"/>
        <v>1.9177248109503164E-2</v>
      </c>
      <c r="K24" s="157">
        <f t="shared" si="9"/>
        <v>1.0858175478779758E-2</v>
      </c>
      <c r="L24" s="157">
        <f t="shared" si="9"/>
        <v>4.465361228088785E-3</v>
      </c>
      <c r="M24" s="157" t="str">
        <f t="shared" si="9"/>
        <v/>
      </c>
      <c r="N24" s="87"/>
    </row>
    <row r="25" spans="1:14" ht="15.75" customHeight="1" x14ac:dyDescent="0.4">
      <c r="A25" s="4"/>
      <c r="B25" s="102" t="s">
        <v>115</v>
      </c>
      <c r="C25" s="158">
        <f>IF(C6="","",C22*(1-Fin_Analysis!$I$84))</f>
        <v>134750.50000000003</v>
      </c>
      <c r="D25" s="77">
        <f>IF(D6="","",D22*(1-Fin_Analysis!$I$84))</f>
        <v>145804.75000000003</v>
      </c>
      <c r="E25" s="77">
        <f>IF(E6="","",E22*(1-Fin_Analysis!$I$84))</f>
        <v>39472.749999999985</v>
      </c>
      <c r="F25" s="77">
        <f>IF(F6="","",F22*(1-Fin_Analysis!$I$84))</f>
        <v>-33018.250000000007</v>
      </c>
      <c r="G25" s="77">
        <f>IF(G6="","",G22*(1-Fin_Analysis!$I$84))</f>
        <v>-5858.25</v>
      </c>
      <c r="H25" s="77">
        <f>IF(H6="","",H22*(1-Fin_Analysis!$I$84))</f>
        <v>46222.250000000015</v>
      </c>
      <c r="I25" s="77">
        <f>IF(I6="","",I22*(1-Fin_Analysis!$I$84))</f>
        <v>41111.25</v>
      </c>
      <c r="J25" s="77">
        <f>IF(J6="","",J22*(1-Fin_Analysis!$I$84))</f>
        <v>31007.749999999993</v>
      </c>
      <c r="K25" s="77">
        <f>IF(K6="","",K22*(1-Fin_Analysis!$I$84))</f>
        <v>18735</v>
      </c>
      <c r="L25" s="77">
        <f>IF(L6="","",L22*(1-Fin_Analysis!$I$84))</f>
        <v>10194.250000000029</v>
      </c>
      <c r="M25" s="77" t="str">
        <f>IF(M6="","",M22*(1-Fin_Analysis!$I$84))</f>
        <v/>
      </c>
      <c r="N25" s="87"/>
    </row>
    <row r="26" spans="1:14" ht="15.75" customHeight="1" thickBot="1" x14ac:dyDescent="0.45">
      <c r="A26" s="4"/>
      <c r="B26" s="101" t="s">
        <v>132</v>
      </c>
      <c r="C26" s="159">
        <f>IF(D25="","",IF(ABS(C25+D25)=ABS(C25)+ABS(D25),IF(C25&lt;0,-1,1)*(C25-D25)/D25,"Turn"))</f>
        <v>-7.5815431253097018E-2</v>
      </c>
      <c r="D26" s="159">
        <f t="shared" ref="D26:M26" si="10">IF(E25="","",IF(ABS(D25+E25)=ABS(D25)+ABS(E25),IF(D25&lt;0,-1,1)*(D25-E25)/E25,"Turn"))</f>
        <v>2.6938077534501672</v>
      </c>
      <c r="E26" s="159" t="str">
        <f t="shared" si="10"/>
        <v>Turn</v>
      </c>
      <c r="F26" s="159">
        <f t="shared" si="10"/>
        <v>-4.6361968164554277</v>
      </c>
      <c r="G26" s="159" t="str">
        <f t="shared" si="10"/>
        <v>Turn</v>
      </c>
      <c r="H26" s="159">
        <f t="shared" si="10"/>
        <v>0.12432120161756245</v>
      </c>
      <c r="I26" s="159">
        <f t="shared" si="10"/>
        <v>0.32583789536486879</v>
      </c>
      <c r="J26" s="159">
        <f t="shared" si="10"/>
        <v>0.6550707232452625</v>
      </c>
      <c r="K26" s="159">
        <f t="shared" si="10"/>
        <v>0.83780072099467318</v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4">
      <c r="A27" s="16"/>
      <c r="B27" s="115" t="s">
        <v>139</v>
      </c>
      <c r="C27" s="48">
        <f>Fin_Analysis!D9</f>
        <v>45473</v>
      </c>
      <c r="D27" s="49">
        <f>D5</f>
        <v>44926</v>
      </c>
      <c r="E27" s="49">
        <f t="shared" ref="E27" si="11">EOMONTH(EDATE(D27,-12),0)</f>
        <v>44561</v>
      </c>
      <c r="F27" s="49">
        <f t="shared" ref="F27" si="12">EOMONTH(EDATE(E27,-12),0)</f>
        <v>44196</v>
      </c>
      <c r="G27" s="49">
        <f t="shared" ref="G27" si="13">EOMONTH(EDATE(F27,-12),0)</f>
        <v>43830</v>
      </c>
      <c r="H27" s="49">
        <f t="shared" ref="H27" si="14">EOMONTH(EDATE(G27,-12),0)</f>
        <v>43465</v>
      </c>
      <c r="I27" s="49">
        <f t="shared" ref="I27" si="15">EOMONTH(EDATE(H27,-12),0)</f>
        <v>43100</v>
      </c>
      <c r="J27" s="49">
        <f t="shared" ref="J27" si="16">EOMONTH(EDATE(I27,-12),0)</f>
        <v>42735</v>
      </c>
      <c r="K27" s="49">
        <f t="shared" ref="K27" si="17">EOMONTH(EDATE(J27,-12),0)</f>
        <v>42369</v>
      </c>
      <c r="L27" s="49">
        <f t="shared" ref="L27" si="18">EOMONTH(EDATE(K27,-12),0)</f>
        <v>42004</v>
      </c>
      <c r="M27" s="49">
        <f t="shared" ref="M27" si="19">EOMONTH(EDATE(L27,-12),0)</f>
        <v>41639</v>
      </c>
      <c r="N27" s="87"/>
    </row>
    <row r="28" spans="1:14" ht="15.75" customHeight="1" x14ac:dyDescent="0.4">
      <c r="A28" s="4"/>
      <c r="B28" s="94" t="s">
        <v>14</v>
      </c>
      <c r="C28" s="65">
        <f>IF(C37="","",C37+C32+C33)</f>
        <v>2768297</v>
      </c>
      <c r="D28" s="65" t="str">
        <f t="shared" ref="D28:M28" si="20">IF(D37="","",D37+D32+D33)</f>
        <v/>
      </c>
      <c r="E28" s="65" t="str">
        <f t="shared" si="20"/>
        <v/>
      </c>
      <c r="F28" s="65" t="str">
        <f t="shared" si="20"/>
        <v/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4">
      <c r="A29" s="4"/>
      <c r="B29" s="94" t="s">
        <v>15</v>
      </c>
      <c r="C29" s="65">
        <f>Fin_Analysis!C28</f>
        <v>672371</v>
      </c>
      <c r="D29" s="208" t="str">
        <f>IF(Inputs!D28="","",Inputs!D28)</f>
        <v/>
      </c>
      <c r="E29" s="208" t="str">
        <f>IF(Inputs!E28="","",Inputs!E28)</f>
        <v/>
      </c>
      <c r="F29" s="208" t="str">
        <f>IF(Inputs!F28="","",Inputs!F28)</f>
        <v/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4">
      <c r="A30" s="4"/>
      <c r="B30" s="94" t="s">
        <v>118</v>
      </c>
      <c r="C30" s="65">
        <f>Fin_Analysis!C13</f>
        <v>142879</v>
      </c>
      <c r="D30" s="208" t="str">
        <f>IF(Inputs!D29="","",Inputs!D29)</f>
        <v/>
      </c>
      <c r="E30" s="208" t="str">
        <f>IF(Inputs!E29="","",Inputs!E29)</f>
        <v/>
      </c>
      <c r="F30" s="208" t="str">
        <f>IF(Inputs!F29="","",Inputs!F29)</f>
        <v/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4">
      <c r="A31" s="4"/>
      <c r="B31" s="94" t="s">
        <v>153</v>
      </c>
      <c r="C31" s="65">
        <f>Fin_Analysis!C18</f>
        <v>182674</v>
      </c>
      <c r="D31" s="208" t="str">
        <f>IF(Inputs!D30="","",Inputs!D30)</f>
        <v/>
      </c>
      <c r="E31" s="208" t="str">
        <f>IF(Inputs!E30="","",Inputs!E30)</f>
        <v/>
      </c>
      <c r="F31" s="208" t="str">
        <f>IF(Inputs!F30="","",Inputs!F30)</f>
        <v/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4">
      <c r="A32" s="4"/>
      <c r="B32" s="94" t="s">
        <v>16</v>
      </c>
      <c r="C32" s="65">
        <f>Fin_Analysis!I28</f>
        <v>716641</v>
      </c>
      <c r="D32" s="208" t="str">
        <f>IF(Inputs!D31="","",Inputs!D31)</f>
        <v/>
      </c>
      <c r="E32" s="208" t="str">
        <f>IF(Inputs!E31="","",Inputs!E31)</f>
        <v/>
      </c>
      <c r="F32" s="208" t="str">
        <f>IF(Inputs!F31="","",Inputs!F31)</f>
        <v/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4">
      <c r="A33" s="4"/>
      <c r="B33" s="94" t="s">
        <v>117</v>
      </c>
      <c r="C33" s="65">
        <f>Fin_Analysis!I48</f>
        <v>373503</v>
      </c>
      <c r="D33" s="208" t="str">
        <f>IF(Inputs!D32="","",Inputs!D32)</f>
        <v/>
      </c>
      <c r="E33" s="208" t="str">
        <f>IF(Inputs!E32="","",Inputs!E32)</f>
        <v/>
      </c>
      <c r="F33" s="208" t="str">
        <f>IF(Inputs!F32="","",Inputs!F32)</f>
        <v/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4">
      <c r="A34" s="4"/>
      <c r="B34" s="94" t="s">
        <v>17</v>
      </c>
      <c r="C34" s="65">
        <f>Fin_Analysis!I15</f>
        <v>52418</v>
      </c>
      <c r="D34" s="208" t="str">
        <f>IF(Inputs!D33="","",Inputs!D33)</f>
        <v/>
      </c>
      <c r="E34" s="208" t="str">
        <f>IF(Inputs!E33="","",Inputs!E33)</f>
        <v/>
      </c>
      <c r="F34" s="208" t="str">
        <f>IF(Inputs!F33="","",Inputs!F33)</f>
        <v/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4">
      <c r="A35" s="4"/>
      <c r="B35" s="94" t="s">
        <v>18</v>
      </c>
      <c r="C35" s="65">
        <f>Fin_Analysis!I34</f>
        <v>81126</v>
      </c>
      <c r="D35" s="208" t="str">
        <f>IF(Inputs!D34="","",Inputs!D34)</f>
        <v/>
      </c>
      <c r="E35" s="208" t="str">
        <f>IF(Inputs!E34="","",Inputs!E34)</f>
        <v/>
      </c>
      <c r="F35" s="208" t="str">
        <f>IF(Inputs!F34="","",Inputs!F34)</f>
        <v/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4">
      <c r="A36" s="4"/>
      <c r="B36" s="94" t="s">
        <v>19</v>
      </c>
      <c r="C36" s="77">
        <f t="shared" ref="C36" si="21">IF(OR(C34="",C35=""),"",C34+C35)</f>
        <v>133544</v>
      </c>
      <c r="D36" s="77" t="str">
        <f t="shared" ref="D36" si="22">IF(OR(D34="",D35=""),"",D34+D35)</f>
        <v/>
      </c>
      <c r="E36" s="77" t="str">
        <f t="shared" ref="E36" si="23">IF(OR(E34="",E35=""),"",E34+E35)</f>
        <v/>
      </c>
      <c r="F36" s="77" t="str">
        <f t="shared" ref="F36" si="24">IF(OR(F34="",F35=""),"",F34+F35)</f>
        <v/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Fin_Analysis!D3</f>
        <v>1678153</v>
      </c>
      <c r="D37" s="208" t="str">
        <f>IF(Inputs!D35="","",Inputs!D35)</f>
        <v/>
      </c>
      <c r="E37" s="208" t="str">
        <f>IF(Inputs!E35="","",Inputs!E35)</f>
        <v/>
      </c>
      <c r="F37" s="208" t="str">
        <f>IF(Inputs!F35="","",Inputs!F35)</f>
        <v/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4">
      <c r="A38" s="4"/>
      <c r="B38" s="94" t="s">
        <v>143</v>
      </c>
      <c r="C38" s="65">
        <f>Fin_Analysis!D4</f>
        <v>188249</v>
      </c>
      <c r="D38" s="208" t="str">
        <f>IF(Inputs!D36="","",Inputs!D36)</f>
        <v/>
      </c>
      <c r="E38" s="208" t="str">
        <f>IF(Inputs!E36="","",Inputs!E36)</f>
        <v/>
      </c>
      <c r="F38" s="208" t="str">
        <f>IF(Inputs!F36="","",Inputs!F36)</f>
        <v/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Fin_Analysis!C63</f>
        <v>541381</v>
      </c>
      <c r="D39" s="208" t="str">
        <f>IF(Inputs!D37="","",Inputs!D37)</f>
        <v/>
      </c>
      <c r="E39" s="208" t="str">
        <f>IF(Inputs!E37="","",Inputs!E37)</f>
        <v/>
      </c>
      <c r="F39" s="208" t="str">
        <f>IF(Inputs!F37="","",Inputs!F37)</f>
        <v/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4">
      <c r="A40" s="4"/>
      <c r="B40" s="94" t="s">
        <v>145</v>
      </c>
      <c r="C40" s="65">
        <f>Fin_Analysis!C68</f>
        <v>2226916</v>
      </c>
      <c r="D40" s="65" t="str">
        <f>IF(D39="","",D28-D39)</f>
        <v/>
      </c>
      <c r="E40" s="65" t="str">
        <f t="shared" ref="E40:M40" si="32">IF(E39="","",E28-E39)</f>
        <v/>
      </c>
      <c r="F40" s="65" t="str">
        <f t="shared" si="32"/>
        <v/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4">
      <c r="A41" s="4"/>
      <c r="B41" s="98" t="s">
        <v>163</v>
      </c>
      <c r="C41" s="160">
        <f>IF(C6="","",C22/C40)</f>
        <v>8.0679887940691683E-2</v>
      </c>
      <c r="D41" s="160" t="str">
        <f>IF(D40="","",D22/D40)</f>
        <v/>
      </c>
      <c r="E41" s="160" t="str">
        <f t="shared" ref="E41:M41" si="33">IF(E40="","",E22/E40)</f>
        <v/>
      </c>
      <c r="F41" s="160" t="str">
        <f t="shared" si="33"/>
        <v/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4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4">
      <c r="A43" s="4"/>
      <c r="B43" s="95" t="s">
        <v>98</v>
      </c>
      <c r="C43" s="161">
        <f t="shared" ref="C43:M43" si="34">IF(C6="","",C8/C6)</f>
        <v>0.86263355974668987</v>
      </c>
      <c r="D43" s="161">
        <f t="shared" si="34"/>
        <v>0.86588805084764076</v>
      </c>
      <c r="E43" s="161">
        <f t="shared" si="34"/>
        <v>0.87905937577576676</v>
      </c>
      <c r="F43" s="161">
        <f t="shared" si="34"/>
        <v>0.90054585807690002</v>
      </c>
      <c r="G43" s="161">
        <f t="shared" si="34"/>
        <v>0.88576730067029297</v>
      </c>
      <c r="H43" s="161">
        <f t="shared" si="34"/>
        <v>0.86690956464474378</v>
      </c>
      <c r="I43" s="161">
        <f t="shared" si="34"/>
        <v>0.88315334666078005</v>
      </c>
      <c r="J43" s="161">
        <f t="shared" si="34"/>
        <v>0.88041954279261037</v>
      </c>
      <c r="K43" s="161">
        <f t="shared" si="34"/>
        <v>0.86974014563343127</v>
      </c>
      <c r="L43" s="161">
        <f t="shared" si="34"/>
        <v>0.85990393182190505</v>
      </c>
      <c r="M43" s="161" t="str">
        <f t="shared" si="34"/>
        <v/>
      </c>
      <c r="N43" s="87"/>
    </row>
    <row r="44" spans="1:14" ht="15.75" customHeight="1" x14ac:dyDescent="0.4">
      <c r="A44" s="4"/>
      <c r="B44" s="94" t="s">
        <v>260</v>
      </c>
      <c r="C44" s="157">
        <f t="shared" ref="C44:M44" si="35">IF(C6="","",(C10+MAX(C11,0))/C6)</f>
        <v>4.8900502555287058E-2</v>
      </c>
      <c r="D44" s="157">
        <f t="shared" si="35"/>
        <v>4.2878616631992113E-2</v>
      </c>
      <c r="E44" s="157">
        <f t="shared" si="35"/>
        <v>5.3445427523257226E-2</v>
      </c>
      <c r="F44" s="157">
        <f t="shared" si="35"/>
        <v>7.3706870696377561E-2</v>
      </c>
      <c r="G44" s="157">
        <f t="shared" si="35"/>
        <v>6.0207564337395353E-2</v>
      </c>
      <c r="H44" s="157">
        <f t="shared" si="35"/>
        <v>6.3183650577237099E-2</v>
      </c>
      <c r="I44" s="157">
        <f t="shared" si="35"/>
        <v>7.1249919390442937E-2</v>
      </c>
      <c r="J44" s="157">
        <f t="shared" si="35"/>
        <v>8.6544461850834586E-2</v>
      </c>
      <c r="K44" s="157">
        <f t="shared" si="35"/>
        <v>8.265775216352117E-2</v>
      </c>
      <c r="L44" s="157">
        <f t="shared" si="35"/>
        <v>6.4741331655980255E-2</v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262</v>
      </c>
      <c r="C45" s="157">
        <f t="shared" ref="C45:M45" si="36">IF(C6="","",(MAX(C20,0)-MAX(C18,0))/C6)</f>
        <v>1.1646250496510809E-2</v>
      </c>
      <c r="D45" s="157">
        <f t="shared" si="36"/>
        <v>1.76465122051441E-3</v>
      </c>
      <c r="E45" s="157">
        <f t="shared" si="36"/>
        <v>1.7761591891518692E-2</v>
      </c>
      <c r="F45" s="157">
        <f t="shared" si="36"/>
        <v>2.4811824787624184E-2</v>
      </c>
      <c r="G45" s="157">
        <f t="shared" si="36"/>
        <v>3.3744700632944082E-2</v>
      </c>
      <c r="H45" s="157">
        <f t="shared" si="36"/>
        <v>2.263262894884658E-2</v>
      </c>
      <c r="I45" s="157">
        <f t="shared" si="36"/>
        <v>-1.5898684948087445E-3</v>
      </c>
      <c r="J45" s="157">
        <f t="shared" si="36"/>
        <v>-2.3047146303767141E-2</v>
      </c>
      <c r="K45" s="157">
        <f t="shared" si="36"/>
        <v>1.4129827497872992E-2</v>
      </c>
      <c r="L45" s="157">
        <f t="shared" si="36"/>
        <v>5.1576854980503399E-2</v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109</v>
      </c>
      <c r="C46" s="157">
        <f t="shared" ref="C46:M46" si="37">IF(C6="","",MAX(C21,0)/C6)</f>
        <v>0</v>
      </c>
      <c r="D46" s="157">
        <f t="shared" si="37"/>
        <v>1.4274348929832885E-2</v>
      </c>
      <c r="E46" s="157">
        <f t="shared" si="37"/>
        <v>1.0563624060903882E-2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>
        <f t="shared" si="37"/>
        <v>0</v>
      </c>
      <c r="L46" s="157">
        <f t="shared" si="37"/>
        <v>0</v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123</v>
      </c>
      <c r="C47" s="157">
        <f t="shared" ref="C47:M47" si="38">IF(C6="","",MAX(C13,0)/C6)</f>
        <v>7.9916652607163307E-3</v>
      </c>
      <c r="D47" s="157">
        <f t="shared" si="38"/>
        <v>6.6541799172441553E-3</v>
      </c>
      <c r="E47" s="157">
        <f t="shared" si="38"/>
        <v>7.5502543845523303E-3</v>
      </c>
      <c r="F47" s="157">
        <f t="shared" si="38"/>
        <v>1.3717812679048275E-2</v>
      </c>
      <c r="G47" s="157">
        <f t="shared" si="38"/>
        <v>1.2082358223306488E-2</v>
      </c>
      <c r="H47" s="157">
        <f t="shared" si="38"/>
        <v>9.5657395110769396E-3</v>
      </c>
      <c r="I47" s="157">
        <f t="shared" si="38"/>
        <v>1.0738681178040468E-2</v>
      </c>
      <c r="J47" s="157">
        <f t="shared" si="38"/>
        <v>1.2772565824913431E-2</v>
      </c>
      <c r="K47" s="157">
        <f t="shared" si="38"/>
        <v>1.3808747742589085E-2</v>
      </c>
      <c r="L47" s="157">
        <f t="shared" si="38"/>
        <v>1.0896808619679172E-2</v>
      </c>
      <c r="M47" s="157" t="str">
        <f t="shared" si="38"/>
        <v/>
      </c>
      <c r="N47" s="87"/>
    </row>
    <row r="48" spans="1:14" ht="15.75" customHeight="1" x14ac:dyDescent="0.4">
      <c r="A48" s="4"/>
      <c r="B48" s="94" t="s">
        <v>133</v>
      </c>
      <c r="C48" s="157">
        <f>IF(C6="","",MAX(C14,0)/(1-Fin_Analysis!$I$84)/C6)</f>
        <v>9.1579398111554088E-3</v>
      </c>
      <c r="D48" s="157">
        <f>IF(D6="","",MAX(D14,0)/(1-Fin_Analysis!$I$84)/D6)</f>
        <v>8.522767324644475E-3</v>
      </c>
      <c r="E48" s="157">
        <f>IF(E6="","",MAX(E14,0)/(1-Fin_Analysis!$I$84)/E6)</f>
        <v>1.1488392202673272E-2</v>
      </c>
      <c r="F48" s="157">
        <f>IF(F6="","",MAX(F14,0)/(1-Fin_Analysis!$I$84)/F6)</f>
        <v>9.9829216817420574E-3</v>
      </c>
      <c r="G48" s="157">
        <f>IF(G6="","",MAX(G14,0)/(1-Fin_Analysis!$I$84)/G6)</f>
        <v>1.1301607987889432E-2</v>
      </c>
      <c r="H48" s="157">
        <f>IF(H6="","",MAX(H14,0)/(1-Fin_Analysis!$I$84)/H6)</f>
        <v>1.1758361846406398E-2</v>
      </c>
      <c r="I48" s="157">
        <f>IF(I6="","",MAX(I14,0)/(1-Fin_Analysis!$I$84)/I6)</f>
        <v>9.2564574455947495E-3</v>
      </c>
      <c r="J48" s="157">
        <f>IF(J6="","",MAX(J14,0)/(1-Fin_Analysis!$I$84)/J6)</f>
        <v>1.774091168940458E-2</v>
      </c>
      <c r="K48" s="157">
        <f>IF(K6="","",MAX(K14,0)/(1-Fin_Analysis!$I$84)/K6)</f>
        <v>5.1859596575458376E-3</v>
      </c>
      <c r="L48" s="157">
        <f>IF(L6="","",MAX(L14,0)/(1-Fin_Analysis!$I$84)/L6)</f>
        <v>6.9272579511470917E-3</v>
      </c>
      <c r="M48" s="157" t="str">
        <f>IF(M6="","",MAX(M14,0)/(1-Fin_Analysis!$I$84)/M6)</f>
        <v/>
      </c>
      <c r="N48" s="87"/>
    </row>
    <row r="49" spans="1:14" ht="15.75" customHeight="1" x14ac:dyDescent="0.4">
      <c r="A49" s="4"/>
      <c r="B49" s="94" t="s">
        <v>126</v>
      </c>
      <c r="C49" s="157">
        <f t="shared" ref="C49:M49" si="39">IF(C6="","",C22/C6)</f>
        <v>5.9670082129640589E-2</v>
      </c>
      <c r="D49" s="157">
        <f t="shared" si="39"/>
        <v>6.0017385128131207E-2</v>
      </c>
      <c r="E49" s="157">
        <f t="shared" si="39"/>
        <v>2.0131334161327855E-2</v>
      </c>
      <c r="F49" s="157">
        <f t="shared" si="39"/>
        <v>-2.2765287921692089E-2</v>
      </c>
      <c r="G49" s="157">
        <f t="shared" si="39"/>
        <v>-3.1035318518283063E-3</v>
      </c>
      <c r="H49" s="157">
        <f t="shared" si="39"/>
        <v>2.5950054471689188E-2</v>
      </c>
      <c r="I49" s="157">
        <f t="shared" si="39"/>
        <v>2.7191463819950492E-2</v>
      </c>
      <c r="J49" s="157">
        <f t="shared" si="39"/>
        <v>2.5569664146004218E-2</v>
      </c>
      <c r="K49" s="157">
        <f t="shared" si="39"/>
        <v>1.4477567305039678E-2</v>
      </c>
      <c r="L49" s="157">
        <f t="shared" si="39"/>
        <v>5.9538149707850469E-3</v>
      </c>
      <c r="M49" s="157" t="str">
        <f t="shared" si="39"/>
        <v/>
      </c>
      <c r="N49" s="87"/>
    </row>
    <row r="50" spans="1:14" ht="15.75" customHeight="1" x14ac:dyDescent="0.4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4">
      <c r="A51" s="4"/>
      <c r="B51" s="95" t="s">
        <v>151</v>
      </c>
      <c r="C51" s="161">
        <f t="shared" ref="C51:M51" si="40">IF(C30="","",C30/C6)</f>
        <v>4.7452152299625509E-2</v>
      </c>
      <c r="D51" s="161" t="str">
        <f t="shared" si="40"/>
        <v/>
      </c>
      <c r="E51" s="161" t="str">
        <f t="shared" si="40"/>
        <v/>
      </c>
      <c r="F51" s="161" t="str">
        <f t="shared" si="40"/>
        <v/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4">
      <c r="A52" s="4"/>
      <c r="B52" s="94" t="s">
        <v>152</v>
      </c>
      <c r="C52" s="157">
        <f t="shared" ref="C52:M52" si="41">IF(C31="","",C31/C6)</f>
        <v>6.0668638982508204E-2</v>
      </c>
      <c r="D52" s="157" t="str">
        <f t="shared" si="41"/>
        <v/>
      </c>
      <c r="E52" s="157" t="str">
        <f t="shared" si="41"/>
        <v/>
      </c>
      <c r="F52" s="157" t="str">
        <f t="shared" si="41"/>
        <v/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4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61">
        <f>IF(C37="","",(C28-C37)/C28)</f>
        <v>0.39379589689979072</v>
      </c>
      <c r="D54" s="161" t="str">
        <f t="shared" ref="D54:M54" si="42">IF(D37="","",(D28-D37)/D28)</f>
        <v/>
      </c>
      <c r="E54" s="161" t="str">
        <f t="shared" si="42"/>
        <v/>
      </c>
      <c r="F54" s="161" t="str">
        <f t="shared" si="42"/>
        <v/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4">
      <c r="A55" s="4"/>
      <c r="B55" s="94" t="s">
        <v>122</v>
      </c>
      <c r="C55" s="162">
        <f>IF(OR(C22="",C36=""),"",IF(C36&lt;=0,"-",C22/C36))</f>
        <v>1.3453793007048866</v>
      </c>
      <c r="D55" s="162" t="str">
        <f t="shared" ref="D55:M55" si="43">IF(OR(D22="",D36=""),"",IF(D36&lt;=0,"-",D22/D36))</f>
        <v/>
      </c>
      <c r="E55" s="162" t="str">
        <f t="shared" si="43"/>
        <v/>
      </c>
      <c r="F55" s="162" t="str">
        <f t="shared" si="43"/>
        <v/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4">
      <c r="A56" s="4"/>
      <c r="B56" s="94" t="s">
        <v>124</v>
      </c>
      <c r="C56" s="157">
        <f t="shared" ref="C56:M56" si="44">IF(C22="","",IF(MAX(C13,0)&lt;=0,"-",C13/C22))</f>
        <v>0.13393085739941593</v>
      </c>
      <c r="D56" s="157">
        <f t="shared" si="44"/>
        <v>0.11087087354835831</v>
      </c>
      <c r="E56" s="157">
        <f t="shared" si="44"/>
        <v>0.37504987618040309</v>
      </c>
      <c r="F56" s="157">
        <f t="shared" si="44"/>
        <v>-0.60257584820515908</v>
      </c>
      <c r="G56" s="157">
        <f t="shared" si="44"/>
        <v>-3.8930994750992189</v>
      </c>
      <c r="H56" s="157">
        <f t="shared" si="44"/>
        <v>0.36862117270362205</v>
      </c>
      <c r="I56" s="157">
        <f t="shared" si="44"/>
        <v>0.39492839551217734</v>
      </c>
      <c r="J56" s="157">
        <f t="shared" si="44"/>
        <v>0.49952028122001768</v>
      </c>
      <c r="K56" s="157">
        <f t="shared" si="44"/>
        <v>0.9538030424339472</v>
      </c>
      <c r="L56" s="157">
        <f t="shared" si="44"/>
        <v>1.8302229197832058</v>
      </c>
      <c r="M56" s="157" t="str">
        <f t="shared" si="44"/>
        <v/>
      </c>
    </row>
    <row r="57" spans="1:14" ht="15.75" customHeight="1" x14ac:dyDescent="0.4">
      <c r="A57" s="4"/>
      <c r="B57" s="98" t="s">
        <v>21</v>
      </c>
      <c r="C57" s="163">
        <f t="shared" ref="C57:M57" si="45">IF(C29="","",C29/C32)</f>
        <v>0.93822569459464367</v>
      </c>
      <c r="D57" s="163" t="str">
        <f t="shared" si="45"/>
        <v/>
      </c>
      <c r="E57" s="163" t="str">
        <f t="shared" si="45"/>
        <v/>
      </c>
      <c r="F57" s="163" t="str">
        <f t="shared" si="45"/>
        <v/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I102" sqref="I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-699178.46747185371</v>
      </c>
      <c r="E6" s="56">
        <f>1-D6/D3</f>
        <v>1.4166357104935328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238880</v>
      </c>
      <c r="D11" s="207">
        <f>Inputs!D40</f>
        <v>0.9</v>
      </c>
      <c r="E11" s="88">
        <f t="shared" ref="E11:E22" si="0">C11*D11</f>
        <v>214992</v>
      </c>
      <c r="F11" s="113"/>
      <c r="G11" s="87"/>
      <c r="H11" s="3" t="s">
        <v>39</v>
      </c>
      <c r="I11" s="40">
        <f>Inputs!C66</f>
        <v>40594</v>
      </c>
      <c r="J11" s="87"/>
      <c r="K11" s="24"/>
    </row>
    <row r="12" spans="1:11" ht="13.9" x14ac:dyDescent="0.4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118</v>
      </c>
      <c r="C13" s="40">
        <f>Inputs!C42</f>
        <v>142879</v>
      </c>
      <c r="D13" s="207">
        <f>Inputs!D42</f>
        <v>0.6</v>
      </c>
      <c r="E13" s="88">
        <f t="shared" si="0"/>
        <v>85727.4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9895</v>
      </c>
      <c r="D14" s="207">
        <f>Inputs!D43</f>
        <v>0.6</v>
      </c>
      <c r="E14" s="88">
        <f t="shared" si="0"/>
        <v>5937</v>
      </c>
      <c r="F14" s="113"/>
      <c r="G14" s="87"/>
      <c r="H14" s="86" t="s">
        <v>43</v>
      </c>
      <c r="I14" s="214">
        <f>Inputs!C69</f>
        <v>11824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164</v>
      </c>
      <c r="C16" s="40">
        <f>Inputs!C45</f>
        <v>11851</v>
      </c>
      <c r="D16" s="207">
        <f>Inputs!D45</f>
        <v>0.6</v>
      </c>
      <c r="E16" s="88">
        <f t="shared" si="0"/>
        <v>7110.5999999999995</v>
      </c>
      <c r="F16" s="113"/>
      <c r="G16" s="30"/>
      <c r="H16" s="3"/>
      <c r="I16" s="40"/>
      <c r="J16" s="87"/>
    </row>
    <row r="17" spans="2:10" ht="13.9" x14ac:dyDescent="0.4">
      <c r="B17" s="3" t="s">
        <v>119</v>
      </c>
      <c r="C17" s="40">
        <f>Inputs!C46</f>
        <v>24847</v>
      </c>
      <c r="D17" s="207">
        <f>Inputs!D46</f>
        <v>0.1</v>
      </c>
      <c r="E17" s="88">
        <f t="shared" si="0"/>
        <v>2484.7000000000003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182674</v>
      </c>
      <c r="D18" s="207">
        <f>Inputs!D47</f>
        <v>0.5</v>
      </c>
      <c r="E18" s="88">
        <f t="shared" si="0"/>
        <v>91337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61345</v>
      </c>
      <c r="D22" s="207">
        <f>Inputs!D51</f>
        <v>0.05</v>
      </c>
      <c r="E22" s="88">
        <f t="shared" si="0"/>
        <v>3067.25</v>
      </c>
      <c r="F22" s="113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4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4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4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4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3"/>
      <c r="G28" s="87"/>
      <c r="H28" s="78" t="s">
        <v>16</v>
      </c>
      <c r="I28" s="215">
        <f>Inputs!C70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70126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165</v>
      </c>
      <c r="C33" s="40">
        <f>Inputs!C55</f>
        <v>693</v>
      </c>
      <c r="D33" s="207">
        <f>Inputs!D55</f>
        <v>0.5</v>
      </c>
      <c r="E33" s="88">
        <f t="shared" si="1"/>
        <v>346.5</v>
      </c>
      <c r="F33" s="113"/>
      <c r="G33" s="30">
        <f>IF(F33="Y",0,1)</f>
        <v>1</v>
      </c>
      <c r="H33" s="86" t="s">
        <v>67</v>
      </c>
      <c r="I33" s="214">
        <f>Inputs!C74</f>
        <v>11000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Inputs!C57</f>
        <v>292606</v>
      </c>
      <c r="D35" s="207">
        <f>Inputs!D57</f>
        <v>0.1</v>
      </c>
      <c r="E35" s="88">
        <f t="shared" si="1"/>
        <v>29260.600000000002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201156</v>
      </c>
      <c r="D37" s="207">
        <f>Inputs!D59</f>
        <v>0.1</v>
      </c>
      <c r="E37" s="88">
        <f t="shared" si="1"/>
        <v>20115.600000000002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120</v>
      </c>
      <c r="C38" s="40">
        <f>Inputs!C60</f>
        <v>1413348</v>
      </c>
      <c r="D38" s="207">
        <f>Inputs!D60</f>
        <v>0.1</v>
      </c>
      <c r="E38" s="88">
        <f t="shared" si="1"/>
        <v>141334.80000000002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91529</v>
      </c>
      <c r="D40" s="207">
        <f>Inputs!D62</f>
        <v>0.05</v>
      </c>
      <c r="E40" s="88">
        <f t="shared" si="1"/>
        <v>4576.45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24707</v>
      </c>
      <c r="D41" s="207">
        <f>Inputs!D63</f>
        <v>0.9</v>
      </c>
      <c r="E41" s="88">
        <f t="shared" si="1"/>
        <v>22236.3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71887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16">
        <f>Inputs!C75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155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60">
        <f>I15+I34</f>
        <v>133544</v>
      </c>
      <c r="E56" s="25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9">
        <f>Inputs!C77</f>
        <v>0</v>
      </c>
      <c r="E57" s="25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9">
        <f>Inputs!C78</f>
        <v>0</v>
      </c>
      <c r="E58" s="25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144</v>
      </c>
      <c r="C62" s="118">
        <f>C11+C30</f>
        <v>238880</v>
      </c>
      <c r="D62" s="108">
        <f t="shared" si="2"/>
        <v>0.9</v>
      </c>
      <c r="E62" s="119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2" t="s">
        <v>156</v>
      </c>
      <c r="C64" s="217"/>
      <c r="D64" s="217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2" t="s">
        <v>157</v>
      </c>
      <c r="C69" s="217"/>
      <c r="D69" s="217"/>
      <c r="E69" s="127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7" t="s">
        <v>131</v>
      </c>
      <c r="C72" s="263">
        <f>Data!C5</f>
        <v>45291</v>
      </c>
      <c r="D72" s="263"/>
      <c r="E72" s="261" t="s">
        <v>215</v>
      </c>
      <c r="F72" s="261"/>
      <c r="H72" s="261" t="s">
        <v>214</v>
      </c>
      <c r="I72" s="261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2" t="s">
        <v>101</v>
      </c>
      <c r="D73" s="262"/>
      <c r="E73" s="264" t="s">
        <v>102</v>
      </c>
      <c r="F73" s="262"/>
      <c r="H73" s="264" t="s">
        <v>102</v>
      </c>
      <c r="I73" s="262"/>
      <c r="K73" s="24"/>
    </row>
    <row r="74" spans="1:11" ht="15" customHeight="1" x14ac:dyDescent="0.4">
      <c r="B74" s="3" t="s">
        <v>130</v>
      </c>
      <c r="C74" s="77">
        <f>Data!C6</f>
        <v>3011012</v>
      </c>
      <c r="D74" s="218"/>
      <c r="E74" s="205">
        <f>H74</f>
        <v>3011012</v>
      </c>
      <c r="F74" s="218"/>
      <c r="H74" s="205">
        <f>C74</f>
        <v>3011012</v>
      </c>
      <c r="I74" s="218"/>
      <c r="K74" s="24"/>
    </row>
    <row r="75" spans="1:11" ht="15" customHeight="1" x14ac:dyDescent="0.4">
      <c r="B75" s="105" t="s">
        <v>106</v>
      </c>
      <c r="C75" s="77">
        <f>Data!C8</f>
        <v>2597400</v>
      </c>
      <c r="D75" s="164">
        <f>C75/$C$74</f>
        <v>0.86263355974668987</v>
      </c>
      <c r="E75" s="205">
        <f>89.5%*E74</f>
        <v>2694855.74</v>
      </c>
      <c r="F75" s="165">
        <f>E75/E74</f>
        <v>0.89500000000000013</v>
      </c>
      <c r="H75" s="205">
        <f>H74*87%</f>
        <v>2619580.44</v>
      </c>
      <c r="I75" s="165">
        <f>H75/$H$74</f>
        <v>0.87</v>
      </c>
      <c r="K75" s="24"/>
    </row>
    <row r="76" spans="1:11" ht="15" customHeight="1" x14ac:dyDescent="0.4">
      <c r="B76" s="35" t="s">
        <v>96</v>
      </c>
      <c r="C76" s="166">
        <f>C74-C75</f>
        <v>413612</v>
      </c>
      <c r="D76" s="219"/>
      <c r="E76" s="167">
        <f>E74-E75</f>
        <v>316156.25999999978</v>
      </c>
      <c r="F76" s="219"/>
      <c r="H76" s="167">
        <f>H74-H75</f>
        <v>391431.56000000006</v>
      </c>
      <c r="I76" s="219"/>
      <c r="K76" s="24"/>
    </row>
    <row r="77" spans="1:11" ht="15" customHeight="1" x14ac:dyDescent="0.4">
      <c r="B77" s="105" t="s">
        <v>239</v>
      </c>
      <c r="C77" s="77">
        <f>Data!C10</f>
        <v>125283</v>
      </c>
      <c r="D77" s="164">
        <f>C77/$C$74</f>
        <v>4.1608269910581558E-2</v>
      </c>
      <c r="E77" s="205">
        <f>5.04%*E74</f>
        <v>151755.0048</v>
      </c>
      <c r="F77" s="165">
        <f>E77/E74</f>
        <v>5.04E-2</v>
      </c>
      <c r="H77" s="205">
        <f>H74*5.04%</f>
        <v>151755.0048</v>
      </c>
      <c r="I77" s="165">
        <f>H77/$H$74</f>
        <v>5.04E-2</v>
      </c>
      <c r="K77" s="24"/>
    </row>
    <row r="78" spans="1:11" ht="15" customHeight="1" x14ac:dyDescent="0.4">
      <c r="B78" s="35" t="s">
        <v>258</v>
      </c>
      <c r="C78" s="166">
        <f>C76-C77</f>
        <v>288329</v>
      </c>
      <c r="D78" s="219"/>
      <c r="E78" s="167">
        <f>E76-E77</f>
        <v>164401.25519999978</v>
      </c>
      <c r="F78" s="219"/>
      <c r="H78" s="167">
        <f>H76-H77</f>
        <v>239676.55520000006</v>
      </c>
      <c r="I78" s="219"/>
      <c r="K78" s="24"/>
    </row>
    <row r="79" spans="1:11" ht="15" customHeight="1" x14ac:dyDescent="0.4">
      <c r="B79" s="105" t="s">
        <v>125</v>
      </c>
      <c r="C79" s="77">
        <f>MAX(Data!C13,0)</f>
        <v>24063</v>
      </c>
      <c r="D79" s="164">
        <f>C79/$C$74</f>
        <v>7.9916652607163307E-3</v>
      </c>
      <c r="E79" s="186">
        <f>E74*F79</f>
        <v>24063</v>
      </c>
      <c r="F79" s="165">
        <f t="shared" ref="F79:F84" si="3">I79</f>
        <v>7.9916652607163307E-3</v>
      </c>
      <c r="H79" s="205">
        <f>C79</f>
        <v>24063</v>
      </c>
      <c r="I79" s="165">
        <f>H79/$H$74</f>
        <v>7.9916652607163307E-3</v>
      </c>
      <c r="K79" s="24"/>
    </row>
    <row r="80" spans="1:11" ht="15" customHeight="1" x14ac:dyDescent="0.4">
      <c r="B80" s="28" t="s">
        <v>240</v>
      </c>
      <c r="C80" s="77">
        <f>MAX(Data!C11,0)+MAX(Data!C20,0)-MAX(Data!C18,0)</f>
        <v>57024</v>
      </c>
      <c r="D80" s="164">
        <f>C80/$C$74</f>
        <v>1.8938483141216308E-2</v>
      </c>
      <c r="E80" s="205">
        <f>E74*1.59%</f>
        <v>47875.090800000005</v>
      </c>
      <c r="F80" s="165">
        <f>E80/E74</f>
        <v>1.5900000000000001E-2</v>
      </c>
      <c r="H80" s="205">
        <f>H74*D80</f>
        <v>57024</v>
      </c>
      <c r="I80" s="165">
        <f>H80/$H$74</f>
        <v>1.8938483141216308E-2</v>
      </c>
      <c r="K80" s="24"/>
    </row>
    <row r="81" spans="1:11" ht="15" customHeight="1" x14ac:dyDescent="0.4">
      <c r="B81" s="28" t="s">
        <v>110</v>
      </c>
      <c r="C81" s="77">
        <f>MAX(Data!C21,0)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135</v>
      </c>
    </row>
    <row r="82" spans="1:11" ht="15" customHeight="1" x14ac:dyDescent="0.4">
      <c r="B82" s="73" t="s">
        <v>178</v>
      </c>
      <c r="C82" s="77">
        <f>MAX(Data!C14,0)</f>
        <v>20681</v>
      </c>
      <c r="D82" s="164">
        <f>C82/$C$74</f>
        <v>6.8684548583665562E-3</v>
      </c>
      <c r="E82" s="186">
        <f>E74*F82</f>
        <v>20681</v>
      </c>
      <c r="F82" s="165">
        <f t="shared" si="3"/>
        <v>6.8684548583665562E-3</v>
      </c>
      <c r="H82" s="205">
        <f>H74*D82</f>
        <v>20681</v>
      </c>
      <c r="I82" s="165">
        <f>H82/$H$74</f>
        <v>6.8684548583665562E-3</v>
      </c>
      <c r="K82" s="24"/>
    </row>
    <row r="83" spans="1:11" ht="15" customHeight="1" thickBot="1" x14ac:dyDescent="0.45">
      <c r="B83" s="106" t="s">
        <v>129</v>
      </c>
      <c r="C83" s="168">
        <f>C78-C79-C80-C81-C82</f>
        <v>186561</v>
      </c>
      <c r="D83" s="169">
        <f>C83/$C$74</f>
        <v>6.1959567082429431E-2</v>
      </c>
      <c r="E83" s="170">
        <f>E78-E79-E80-E81-E82</f>
        <v>71782.164399999776</v>
      </c>
      <c r="F83" s="169">
        <f>E83/E74</f>
        <v>2.3839879880917039E-2</v>
      </c>
      <c r="H83" s="170">
        <f>H78-H79-H80-H81-H82</f>
        <v>137908.55520000006</v>
      </c>
      <c r="I83" s="169">
        <f>H83/$H$74</f>
        <v>4.5801396739700823E-2</v>
      </c>
      <c r="K83" s="24"/>
    </row>
    <row r="84" spans="1:11" ht="15" customHeight="1" thickTop="1" x14ac:dyDescent="0.4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170</v>
      </c>
      <c r="C85" s="166">
        <f>C83*(1-I84)</f>
        <v>139920.75</v>
      </c>
      <c r="D85" s="171">
        <f>C85/$C$74</f>
        <v>4.646967531182207E-2</v>
      </c>
      <c r="E85" s="172">
        <f>E83*(1-F84)</f>
        <v>53836.623299999832</v>
      </c>
      <c r="F85" s="171">
        <f>E85/E74</f>
        <v>1.7879909910687778E-2</v>
      </c>
      <c r="H85" s="172">
        <f>H83*(1-I84)</f>
        <v>103431.41640000005</v>
      </c>
      <c r="I85" s="171">
        <f>H85/$H$74</f>
        <v>3.4351047554775617E-2</v>
      </c>
      <c r="K85" s="24"/>
    </row>
    <row r="86" spans="1:11" ht="15" customHeight="1" x14ac:dyDescent="0.4">
      <c r="B86" s="87" t="s">
        <v>166</v>
      </c>
      <c r="C86" s="173">
        <f>C85*Data!C4/Common_Shares</f>
        <v>0.7645066246949036</v>
      </c>
      <c r="D86" s="218"/>
      <c r="E86" s="174">
        <f>E85*Data!C4/Common_Shares</f>
        <v>0.29415547846944695</v>
      </c>
      <c r="F86" s="218"/>
      <c r="H86" s="174">
        <f>H85*Data!C4/Common_Shares</f>
        <v>0.56513421375583772</v>
      </c>
      <c r="I86" s="218"/>
      <c r="K86" s="24"/>
    </row>
    <row r="87" spans="1:11" ht="15" customHeight="1" x14ac:dyDescent="0.4">
      <c r="B87" s="87" t="s">
        <v>217</v>
      </c>
      <c r="C87" s="165">
        <f>C86*Exchange_Rate/Dashboard!G3</f>
        <v>0.14557824928052548</v>
      </c>
      <c r="D87" s="218"/>
      <c r="E87" s="239">
        <f>E86*Exchange_Rate/Dashboard!G3</f>
        <v>5.6013431654626779E-2</v>
      </c>
      <c r="F87" s="218"/>
      <c r="H87" s="239">
        <f>H86*Exchange_Rate/Dashboard!G3</f>
        <v>0.10761352065449219</v>
      </c>
      <c r="I87" s="218"/>
      <c r="K87" s="24"/>
    </row>
    <row r="88" spans="1:11" ht="15" customHeight="1" x14ac:dyDescent="0.4">
      <c r="B88" s="86" t="s">
        <v>216</v>
      </c>
      <c r="C88" s="175">
        <f>Inputs!F5</f>
        <v>0.45</v>
      </c>
      <c r="D88" s="171">
        <f>C88/C86</f>
        <v>0.58861491249939701</v>
      </c>
      <c r="E88" s="204">
        <f>C88*0.5</f>
        <v>0.22500000000000001</v>
      </c>
      <c r="F88" s="171">
        <f>E88/E86</f>
        <v>0.76490161315615302</v>
      </c>
      <c r="H88" s="176">
        <f>Inputs!F6</f>
        <v>0.45</v>
      </c>
      <c r="I88" s="171">
        <f>H88/H86</f>
        <v>0.79627102561944574</v>
      </c>
      <c r="K88" s="24"/>
    </row>
    <row r="89" spans="1:11" ht="15" customHeight="1" x14ac:dyDescent="0.4">
      <c r="B89" s="87" t="s">
        <v>234</v>
      </c>
      <c r="C89" s="165">
        <f>C88*Exchange_Rate/Dashboard!G3</f>
        <v>8.5689528462071909E-2</v>
      </c>
      <c r="D89" s="218"/>
      <c r="E89" s="165">
        <f>E88*Exchange_Rate/Dashboard!G3</f>
        <v>4.2844764231035955E-2</v>
      </c>
      <c r="F89" s="218"/>
      <c r="H89" s="165">
        <f>H88*Exchange_Rate/Dashboard!G3</f>
        <v>8.5689528462071909E-2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160</v>
      </c>
      <c r="C91" s="21"/>
      <c r="K91" s="50" t="s">
        <v>137</v>
      </c>
    </row>
    <row r="92" spans="1:11" ht="15" customHeight="1" x14ac:dyDescent="0.4">
      <c r="B92" s="10" t="s">
        <v>161</v>
      </c>
      <c r="C92" s="207" t="str">
        <f>Inputs!C15</f>
        <v>CN</v>
      </c>
      <c r="D92" s="10" t="s">
        <v>162</v>
      </c>
      <c r="E92" s="261" t="s">
        <v>215</v>
      </c>
      <c r="F92" s="261"/>
      <c r="G92" s="87"/>
      <c r="H92" s="261" t="s">
        <v>214</v>
      </c>
      <c r="I92" s="261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218</v>
      </c>
      <c r="F93" s="146">
        <f>FV(E87,D93,0,-(E86/C93))</f>
        <v>5.3652709052779235</v>
      </c>
      <c r="H93" s="87" t="s">
        <v>218</v>
      </c>
      <c r="I93" s="146">
        <f>FV(H87,D93,0,-(H86/C93))</f>
        <v>13.084596876049249</v>
      </c>
      <c r="K93" s="24"/>
    </row>
    <row r="94" spans="1:11" ht="15" customHeight="1" x14ac:dyDescent="0.4">
      <c r="B94" s="1" t="s">
        <v>220</v>
      </c>
      <c r="C94" s="188">
        <f>Dashboard!G20</f>
        <v>0.15</v>
      </c>
      <c r="D94" s="147"/>
      <c r="E94" s="87" t="s">
        <v>219</v>
      </c>
      <c r="F94" s="146">
        <f>FV(E89,D93,0,-(E88/C93))</f>
        <v>3.8543251323819976</v>
      </c>
      <c r="H94" s="87" t="s">
        <v>219</v>
      </c>
      <c r="I94" s="146">
        <f>FV(H89,D93,0,-(H88/C93))</f>
        <v>9.4277544499745769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7" t="s">
        <v>263</v>
      </c>
      <c r="H96" s="189" t="str">
        <f>H72</f>
        <v>Base Case</v>
      </c>
      <c r="I96" s="125" t="s">
        <v>222</v>
      </c>
      <c r="K96" s="24"/>
    </row>
    <row r="97" spans="2:11" ht="15" customHeight="1" x14ac:dyDescent="0.4">
      <c r="B97" s="1" t="s">
        <v>134</v>
      </c>
      <c r="C97" s="91">
        <f>H97*Common_Shares/Data!C4</f>
        <v>1819914.502698787</v>
      </c>
      <c r="D97" s="222"/>
      <c r="E97" s="124">
        <f>PV(C93,D93,0,-F93)*Exchange_Rate</f>
        <v>4.0773822030602744</v>
      </c>
      <c r="F97" s="222"/>
      <c r="H97" s="124">
        <f>PV(C93,D93,0,-I93)*Exchange_Rate</f>
        <v>9.9437481123532692</v>
      </c>
      <c r="I97" s="224"/>
      <c r="K97" s="24"/>
    </row>
    <row r="98" spans="2:11" ht="15" customHeight="1" x14ac:dyDescent="0.4">
      <c r="B98" s="28" t="s">
        <v>149</v>
      </c>
      <c r="C98" s="91">
        <f>E53*Exchange_Rate</f>
        <v>202533.26885310808</v>
      </c>
      <c r="D98" s="222"/>
      <c r="E98" s="222"/>
      <c r="F98" s="222"/>
      <c r="H98" s="124">
        <f>C98*Data!$C$4/Common_Shares</f>
        <v>1.1066123198976214</v>
      </c>
      <c r="I98" s="224"/>
      <c r="K98" s="24"/>
    </row>
    <row r="99" spans="2:11" ht="15" customHeight="1" thickBot="1" x14ac:dyDescent="0.45">
      <c r="B99" s="106" t="s">
        <v>150</v>
      </c>
      <c r="C99" s="109">
        <f>(E65-IF(E70&lt;0,MIN(E65,ABS(E70)),0))*Exchange_Rate</f>
        <v>0</v>
      </c>
      <c r="D99" s="223"/>
      <c r="E99" s="148">
        <f>IF(H99&gt;0,H99*0.85,H99*1.15)</f>
        <v>0</v>
      </c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116</v>
      </c>
      <c r="C100" s="91">
        <f>C97-C98+$C$99</f>
        <v>1617381.2338456789</v>
      </c>
      <c r="D100" s="110">
        <f>F100*(1-C94)</f>
        <v>5.018359912137778</v>
      </c>
      <c r="E100" s="110">
        <f>MAX(E97-H98+E99,0)</f>
        <v>2.970769883162653</v>
      </c>
      <c r="F100" s="110">
        <f>(E100+H100)/2</f>
        <v>5.9039528378091504</v>
      </c>
      <c r="H100" s="110">
        <f>MAX(C100*Data!$C$4/Common_Shares,0)</f>
        <v>8.8371357924556477</v>
      </c>
      <c r="I100" s="110">
        <f>F100*1.25</f>
        <v>7.379941047261438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7" t="s">
        <v>263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4">
      <c r="B103" s="1" t="s">
        <v>167</v>
      </c>
      <c r="C103" s="91">
        <f>H103*Common_Shares/Data!C4</f>
        <v>1311290.4596088971</v>
      </c>
      <c r="D103" s="110">
        <f>F103*(1-C94)</f>
        <v>4.2898763627329624</v>
      </c>
      <c r="E103" s="124">
        <f>PV(C93,D93,0,-F94)*Exchange_Rate</f>
        <v>2.9291264089055762</v>
      </c>
      <c r="F103" s="110">
        <f>(E103+H103)/2</f>
        <v>5.0469133679211327</v>
      </c>
      <c r="H103" s="124">
        <f>PV(C93,D93,0,-I94)*Exchange_Rate</f>
        <v>7.1647003269366891</v>
      </c>
      <c r="I103" s="110">
        <f>F103*1.25</f>
        <v>6.3086417099014156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7" t="s">
        <v>263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4">
      <c r="B106" s="1" t="s">
        <v>207</v>
      </c>
      <c r="C106" s="91">
        <f>E106*Common_Shares/Data!C4</f>
        <v>539902.39419955993</v>
      </c>
      <c r="D106" s="110">
        <f>(D100+D103)/2</f>
        <v>4.6541181374353702</v>
      </c>
      <c r="E106" s="124">
        <f>(E100+E103)/2</f>
        <v>2.9499481460341146</v>
      </c>
      <c r="F106" s="110">
        <f>(F100+F103)/2</f>
        <v>5.4754331028651411</v>
      </c>
      <c r="H106" s="124">
        <f>(H100+H103)/2</f>
        <v>8.0009180596961684</v>
      </c>
      <c r="I106" s="124">
        <f>(I100+I103)/2</f>
        <v>6.8442913785814268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171</v>
      </c>
      <c r="C108" s="191" t="s">
        <v>238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