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856F038-EF0B-45DC-A602-235905A67B4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<sst xmlns="http://schemas.openxmlformats.org/spreadsheetml/2006/main" count="350" uniqueCount="250">
  <si>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</si>
  <si>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</si>
  <si>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</si>
  <si>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</si>
  <si>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</si>
  <si>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</si>
  <si>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</si>
  <si>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</si>
  <si>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</si>
  <si>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</si>
  <si>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</si>
  <si>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</si>
  <si>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</si>
  <si>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</si>
  <si>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</si>
  <si>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</si>
  <si>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</si>
  <si>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</si>
  <si>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</si>
  <si>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</si>
  <si>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</si>
  <si>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</si>
  <si>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</si>
  <si>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</si>
  <si>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</si>
  <si>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</si>
  <si>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</si>
  <si>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</si>
  <si>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</si>
  <si>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</si>
  <si>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</si>
  <si>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</si>
  <si>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</si>
  <si>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</si>
  <si>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</si>
  <si>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</si>
  <si>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</si>
  <si>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</si>
  <si>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</si>
  <si>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</si>
  <si>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</si>
  <si>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</si>
  <si>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</si>
  <si>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</si>
  <si>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</si>
  <si>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</si>
  <si>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</si>
  <si>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</si>
  <si>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</si>
  <si>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</si>
  <si>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</si>
  <si>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</si>
  <si>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</si>
  <si>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</si>
  <si>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</si>
  <si>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</si>
  <si>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</si>
  <si>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</si>
  <si>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</si>
  <si>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</si>
  <si>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</si>
  <si>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</si>
  <si>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</si>
  <si>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</si>
  <si>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</si>
  <si>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</si>
  <si>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</si>
  <si>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</si>
  <si>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</si>
  <si>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</si>
  <si>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</si>
  <si>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</si>
  <si>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</si>
  <si>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</si>
  <si>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</si>
  <si>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</si>
  <si>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</si>
  <si>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</si>
  <si>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</si>
  <si>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</si>
  <si>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</si>
  <si>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</si>
  <si>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</si>
  <si>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</si>
  <si>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</si>
  <si>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</si>
  <si>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</si>
  <si>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</si>
  <si>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</si>
  <si>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</si>
  <si>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</si>
  <si>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</si>
  <si>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</si>
  <si>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</si>
  <si>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</si>
  <si>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</si>
  <si>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</si>
  <si>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</si>
  <si>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</si>
  <si>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</si>
  <si>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</si>
  <si>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</si>
  <si>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</si>
  <si>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</si>
  <si>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</si>
  <si>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</si>
  <si>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</si>
  <si>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</si>
  <si>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</si>
  <si>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</si>
  <si>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</si>
  <si>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</si>
  <si>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</si>
  <si>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</si>
  <si>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</si>
  <si>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</si>
  <si>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</si>
  <si>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</si>
  <si>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</si>
  <si>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</si>
  <si>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</si>
  <si>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</si>
  <si>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</si>
  <si>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</si>
  <si>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</si>
  <si>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</si>
  <si>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</si>
  <si>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</si>
  <si>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</si>
  <si>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</si>
  <si>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</si>
  <si>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</si>
  <si>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</si>
  <si>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</si>
  <si>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</si>
  <si>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</si>
  <si>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</si>
  <si>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</si>
  <si>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</si>
  <si>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</si>
  <si>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</si>
  <si>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</si>
  <si>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</si>
  <si>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</si>
  <si>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</si>
  <si>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</si>
  <si>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</si>
  <si>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</si>
  <si>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</si>
  <si>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</si>
  <si>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</si>
  <si>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</si>
  <si>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</si>
  <si>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</si>
  <si>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</si>
  <si>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</si>
  <si>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</si>
  <si>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</si>
  <si>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</si>
  <si>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</si>
  <si>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</si>
  <si>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</si>
  <si>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</si>
  <si>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</si>
  <si>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</si>
  <si>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</si>
  <si>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</si>
  <si>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</si>
  <si>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</si>
  <si>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</si>
  <si>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</si>
  <si>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</si>
  <si>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</si>
  <si>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</si>
  <si>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</si>
  <si>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</si>
  <si>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</si>
  <si>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</si>
  <si>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</si>
  <si>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</si>
  <si>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</si>
  <si>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</si>
  <si>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</si>
  <si>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</si>
  <si>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</si>
  <si>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</si>
  <si>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</si>
  <si>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</si>
  <si>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</si>
  <si>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</si>
  <si>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</si>
  <si>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</si>
  <si>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</si>
  <si>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</si>
  <si>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</si>
  <si>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</si>
  <si>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</si>
  <si>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</si>
  <si>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</si>
  <si>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</si>
  <si>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</si>
  <si>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</si>
  <si>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</si>
  <si>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</si>
  <si>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</si>
  <si>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</si>
  <si>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</si>
  <si>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</si>
  <si>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</si>
  <si>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</si>
  <si>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</si>
  <si>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</si>
  <si>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</si>
  <si>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</si>
  <si>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</si>
  <si>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</si>
  <si>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</si>
  <si>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</si>
  <si>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</si>
  <si>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</si>
  <si>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</si>
  <si>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</si>
  <si>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</si>
  <si>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</si>
  <si>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</si>
  <si>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</si>
  <si>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</si>
  <si>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</si>
  <si>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</si>
  <si>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</si>
  <si>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</si>
  <si>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</si>
  <si>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</si>
  <si>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</si>
  <si>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</si>
  <si>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</si>
  <si>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</si>
  <si>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</si>
  <si>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</si>
  <si>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</si>
  <si>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</si>
  <si>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</si>
  <si>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</si>
  <si>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</si>
  <si>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</si>
  <si>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</si>
  <si>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</si>
  <si>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0939.HK</t>
    <phoneticPr fontId="20" type="noConversion"/>
  </si>
  <si>
    <t>建设银行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</si>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</sst>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4" sqref="C14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0939.HK</v>
      </c>
      <c r="D3" s="247"/>
      <c r="E3" s="87"/>
      <c r="F3" s="3" t="s">
        <v>1</v>
      </c>
      <c r="G3" s="133">
        <v>6.0500001907348633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建设银行</v>
      </c>
      <c r="D4" s="249"/>
      <c r="E4" s="87"/>
      <c r="F4" s="3" t="s">
        <v>3</v>
      </c>
      <c r="G4" s="252">
        <f>Inputs!C10</f>
        <v>250010977486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45605</v>
      </c>
      <c r="D5" s="251"/>
      <c r="E5" s="34"/>
      <c r="F5" s="35" t="s">
        <v>102</v>
      </c>
      <c r="G5" s="244">
        <f>G3*G4/1000000</f>
        <v>1512566.4614761097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1.0758796532948811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0.47700776116848903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0.15697168260849415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>
        <f>G3/(Data!C36*Data!C4/Common_Shares*Exchange_Rate)</f>
        <v>0.43185333132657872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0.27385286550122157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0.2597472795768383</v>
      </c>
    </row>
    <row r="26" spans="1:8" ht="15.75" customHeight="1" x14ac:dyDescent="0.4">
      <c r="B26" s="139" t="s">
        <v>187</v>
      </c>
      <c r="C26" s="177">
        <f>Fin_Analysis!I83</f>
        <v>0.36602055622301682</v>
      </c>
      <c r="F26" s="142" t="s">
        <v>210</v>
      </c>
      <c r="G26" s="184">
        <f>Fin_Analysis!H88*Exchange_Rate/G3</f>
        <v>7.1132536818264092E-2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4.1900388125053984</v>
      </c>
      <c r="D29" s="130">
        <f>IF(Fin_Analysis!C108="Profit",Fin_Analysis!I100,IF(Fin_Analysis!C108="Dividend",Fin_Analysis!I103,Fin_Analysis!I106))</f>
        <v>7.4412061077705687</v>
      </c>
      <c r="E29" s="87"/>
      <c r="F29" s="132">
        <f>IF(Fin_Analysis!C108="Profit",Fin_Analysis!F100,IF(Fin_Analysis!C108="Dividend",Fin_Analysis!F103,Fin_Analysis!F106))</f>
        <v>5.9529648862164546</v>
      </c>
      <c r="G29" s="243">
        <f>IF(Fin_Analysis!C108="Profit",Fin_Analysis!H100,IF(Fin_Analysis!C108="Dividend",Fin_Analysis!H103,Fin_Analysis!H106))</f>
        <v>5.9529648862164546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41" t="s">
        <v>248</v>
      </c>
      <c r="E5" s="231">
        <f>C18</f>
        <v>45291</v>
      </c>
      <c r="F5" s="232">
        <f>0.4+0.197</f>
        <v>0.59699999999999998</v>
      </c>
    </row>
    <row r="6" spans="1:6" ht="13.9" x14ac:dyDescent="0.4">
      <c r="B6" s="142" t="s">
        <v>175</v>
      </c>
      <c r="C6" s="196">
        <v>45605</v>
      </c>
      <c r="E6" s="233" t="s">
        <v>225</v>
      </c>
      <c r="F6" s="232">
        <v>0.4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249</v>
      </c>
    </row>
    <row r="10" spans="1:6" ht="13.9" x14ac:dyDescent="0.4">
      <c r="B10" s="141" t="s">
        <v>238</v>
      </c>
      <c r="C10" s="200">
        <v>250010977486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1402495</v>
      </c>
      <c r="D19" s="152">
        <v>1324203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669001</v>
      </c>
      <c r="D20" s="153">
        <v>567720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220152</v>
      </c>
      <c r="D21" s="153">
        <v>219991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-193</v>
      </c>
      <c r="D27" s="153">
        <v>136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11972903</v>
      </c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>
        <v>213823</v>
      </c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>
        <v>8852611</v>
      </c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2466431</v>
      </c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241133</v>
      </c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35175</v>
      </c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67759</v>
      </c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12220942</v>
      </c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-498</v>
      </c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>
        <v>3475378</v>
      </c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3339708</v>
      </c>
      <c r="D40" s="60">
        <v>0.9</v>
      </c>
      <c r="E40" s="113"/>
    </row>
    <row r="41" spans="2:13" ht="13.9" x14ac:dyDescent="0.4">
      <c r="B41" s="1" t="s">
        <v>146</v>
      </c>
      <c r="C41" s="59">
        <v>683021</v>
      </c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>
        <v>2962684</v>
      </c>
      <c r="D43" s="60">
        <v>0.6</v>
      </c>
      <c r="E43" s="113"/>
    </row>
    <row r="44" spans="2:13" ht="13.9" x14ac:dyDescent="0.4">
      <c r="B44" s="3" t="s">
        <v>44</v>
      </c>
      <c r="C44" s="59">
        <v>6961515</v>
      </c>
      <c r="D44" s="60">
        <v>0.5</v>
      </c>
      <c r="E44" s="113"/>
    </row>
    <row r="45" spans="2:13" ht="13.9" x14ac:dyDescent="0.4">
      <c r="B45" s="1" t="s">
        <v>170</v>
      </c>
      <c r="C45" s="59">
        <v>25589624</v>
      </c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>
        <v>82672</v>
      </c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>
        <v>21347</v>
      </c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>
        <v>4094</v>
      </c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181735</v>
      </c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>
        <v>5722</v>
      </c>
      <c r="D62" s="60">
        <v>0.05</v>
      </c>
      <c r="E62" s="113"/>
    </row>
    <row r="63" spans="2:5" ht="13.9" x14ac:dyDescent="0.4">
      <c r="B63" s="3" t="s">
        <v>75</v>
      </c>
      <c r="C63" s="59">
        <v>118797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343468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33710837</v>
      </c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>
        <v>2498474</v>
      </c>
    </row>
    <row r="70" spans="2:3" ht="14.25" thickBot="1" x14ac:dyDescent="0.45">
      <c r="B70" s="80" t="s">
        <v>16</v>
      </c>
      <c r="C70" s="83">
        <v>37038911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>
        <v>3234661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513342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1402495</v>
      </c>
      <c r="D6" s="209">
        <f>IF(Inputs!D19="","",Inputs!D19)</f>
        <v>1324203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5.9123865449632662E-2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669001</v>
      </c>
      <c r="D8" s="208">
        <f>IF(Inputs!D20="","",Inputs!D20)</f>
        <v>567720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733494</v>
      </c>
      <c r="D9" s="154">
        <f t="shared" si="2"/>
        <v>756483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220152</v>
      </c>
      <c r="D10" s="208">
        <f>IF(Inputs!D21="","",Inputs!D21)</f>
        <v>219991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513342</v>
      </c>
      <c r="D13" s="154">
        <f t="shared" ref="D13:M13" si="4">IF(D6="","",(D9-D10+MAX(D12,0)))</f>
        <v>536492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 t="str">
        <f>IF(Inputs!C26="","",Inputs!C26)</f>
        <v/>
      </c>
      <c r="D17" s="208" t="str">
        <f>IF(Inputs!D26="","",Inputs!D26)</f>
        <v/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-193</v>
      </c>
      <c r="D18" s="208">
        <f>IF(Inputs!D27="","",Inputs!D27)</f>
        <v>136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513342</v>
      </c>
      <c r="D19" s="237">
        <f>IF(D6="","",D9-D10-MAX(D17,0)-MAX(D18,0)/(1-Fin_Analysis!$I$84))</f>
        <v>536310.66666666663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-4.282716733833368E-2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513342</v>
      </c>
      <c r="D21" s="77">
        <f>IF(D6="","",D13-MAX(D14,0)-MAX(D15,0)-MAX(D16,0)-MAX(D17,0)-MAX(D18,0)/(1-Fin_Analysis!$I$84))</f>
        <v>536310.66666666663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-4.282716733833368E-2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0.27451541716726263</v>
      </c>
      <c r="D23" s="157">
        <f t="shared" si="7"/>
        <v>0.30375478684159452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385006.5</v>
      </c>
      <c r="D24" s="77">
        <f>IF(D6="","",D21*(1-Fin_Analysis!$I$84))</f>
        <v>402233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-4.2827167338333749E-2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40294387</v>
      </c>
      <c r="D27" s="65">
        <f t="shared" ref="D27:M27" si="18">IF(D36="","",D36+D31+D32)</f>
        <v>14928506</v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39536552</v>
      </c>
      <c r="D28" s="208">
        <f>IF(Inputs!D28="","",Inputs!D28)</f>
        <v>11972903</v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>
        <f>IF(Inputs!D29="","",Inputs!D29)</f>
        <v>213823</v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>
        <f>IF(Inputs!D30="","",Inputs!D30)</f>
        <v>8852611</v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37038911</v>
      </c>
      <c r="D31" s="208">
        <f>IF(Inputs!D31="","",Inputs!D31)</f>
        <v>2466431</v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>
        <f>IF(Inputs!D32="","",Inputs!D32)</f>
        <v>241133</v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36209311</v>
      </c>
      <c r="D33" s="208">
        <f>IF(Inputs!D33="","",Inputs!D33)</f>
        <v>35175</v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>
        <f>IF(Inputs!D34="","",Inputs!D34)</f>
        <v>67759</v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36209311</v>
      </c>
      <c r="D35" s="77">
        <f t="shared" ref="D35" si="20">IF(OR(D33="",D34=""),"",D33+D34)</f>
        <v>102934</v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3255476</v>
      </c>
      <c r="D36" s="208">
        <f>IF(Inputs!D35="","",Inputs!D35)</f>
        <v>12220942</v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20815</v>
      </c>
      <c r="D37" s="208">
        <f>IF(Inputs!D36="","",Inputs!D36)</f>
        <v>-498</v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13367926</v>
      </c>
      <c r="D38" s="208">
        <f>IF(Inputs!D37="","",Inputs!D37)</f>
        <v>3475378</v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26926461</v>
      </c>
      <c r="D39" s="65">
        <f>IF(D38="","",D27-D38)</f>
        <v>11453128</v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1.9064592261121876E-2</v>
      </c>
      <c r="D40" s="160">
        <f>IF(D39="","",D21/D39)</f>
        <v>4.6826567088629992E-2</v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0.47700776116848903</v>
      </c>
      <c r="D42" s="161">
        <f t="shared" si="33"/>
        <v>0.42872580714588321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0.15697168260849415</v>
      </c>
      <c r="D43" s="157">
        <f t="shared" ref="D43:M43" si="34">IF(D6="","",(D10-MAX(D12,0))/D6)</f>
        <v>0.16613087268341786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</v>
      </c>
      <c r="D46" s="157">
        <f t="shared" ref="D46:M46" si="37">IF(D6="","",MAX(D17,0)/D6)</f>
        <v>0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1.3693771523953151E-4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0.36602055622301682</v>
      </c>
      <c r="D48" s="157">
        <f t="shared" si="38"/>
        <v>0.40500638245545934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>
        <f t="shared" ref="D50:M50" si="39">IF(D29="","",D29/D6)</f>
        <v>0.16147297657534382</v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>
        <f t="shared" ref="D51:M51" si="40">IF(D30="","",D30/D6)</f>
        <v>6.6852370822298397</v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0.91920770503345783</v>
      </c>
      <c r="D53" s="161">
        <f t="shared" ref="D53:M53" si="41">IF(D36="","",(D27-D36)/D27)</f>
        <v>0.1813687183432823</v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1.4177071748203107E-2</v>
      </c>
      <c r="D54" s="162">
        <f t="shared" ref="D54:M54" si="42">IF(OR(D21="",D35=""),"",IF(D35&lt;=0,"-",D21/D35))</f>
        <v>5.2102382756588357</v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 t="str">
        <f>IF(C21="","",IF(MAX(C17,0)&lt;=0,"-",C17/C21))</f>
        <v>-</v>
      </c>
      <c r="D55" s="157" t="str">
        <f t="shared" ref="D55:M55" si="43">IF(D21="","",IF(MAX(D17,0)&lt;=0,"-",D17/D21))</f>
        <v>-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1.0674328950978067</v>
      </c>
      <c r="D56" s="163">
        <f t="shared" si="44"/>
        <v>4.8543433811852026</v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1" zoomScaleNormal="100" workbookViewId="0">
      <selection activeCell="C96" sqref="C9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3255476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3234661</v>
      </c>
      <c r="K3" s="24"/>
    </row>
    <row r="4" spans="1:11" ht="15" customHeight="1" x14ac:dyDescent="0.4">
      <c r="B4" s="3" t="s">
        <v>25</v>
      </c>
      <c r="C4" s="87"/>
      <c r="D4" s="65">
        <f>D3-I3</f>
        <v>20815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1.0674328950978067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-13736302.833595382</v>
      </c>
      <c r="E6" s="56">
        <f>1-D6/D3</f>
        <v>5.219445277309795</v>
      </c>
      <c r="F6" s="87"/>
      <c r="G6" s="87"/>
      <c r="H6" s="1" t="s">
        <v>30</v>
      </c>
      <c r="I6" s="63">
        <f>(C24+C25)/I28</f>
        <v>1.0674328950978067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0.1885966085773958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3339708</v>
      </c>
      <c r="D11" s="207">
        <f>Inputs!D40</f>
        <v>0.9</v>
      </c>
      <c r="E11" s="88">
        <f t="shared" ref="E11:E22" si="0">C11*D11</f>
        <v>3005737.2</v>
      </c>
      <c r="F11" s="113"/>
      <c r="G11" s="87"/>
      <c r="H11" s="3" t="s">
        <v>39</v>
      </c>
      <c r="I11" s="40">
        <f>Inputs!C66</f>
        <v>33710837</v>
      </c>
      <c r="J11" s="87"/>
      <c r="K11" s="24"/>
    </row>
    <row r="12" spans="1:11" ht="13.9" x14ac:dyDescent="0.4">
      <c r="B12" s="1" t="s">
        <v>146</v>
      </c>
      <c r="C12" s="40">
        <f>Inputs!C41</f>
        <v>683021</v>
      </c>
      <c r="D12" s="207">
        <f>Inputs!D41</f>
        <v>0.8</v>
      </c>
      <c r="E12" s="88">
        <f t="shared" si="0"/>
        <v>546416.80000000005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2962684</v>
      </c>
      <c r="D14" s="207">
        <f>Inputs!D43</f>
        <v>0.6</v>
      </c>
      <c r="E14" s="88">
        <f t="shared" si="0"/>
        <v>1777610.4</v>
      </c>
      <c r="F14" s="113"/>
      <c r="G14" s="87"/>
      <c r="H14" s="86" t="s">
        <v>43</v>
      </c>
      <c r="I14" s="214">
        <f>Inputs!C69</f>
        <v>2498474</v>
      </c>
      <c r="J14" s="87"/>
      <c r="K14" s="27"/>
    </row>
    <row r="15" spans="1:11" ht="13.9" x14ac:dyDescent="0.4">
      <c r="B15" s="3" t="s">
        <v>44</v>
      </c>
      <c r="C15" s="40">
        <f>Inputs!C44</f>
        <v>6961515</v>
      </c>
      <c r="D15" s="207">
        <f>Inputs!D44</f>
        <v>0.5</v>
      </c>
      <c r="E15" s="88">
        <f t="shared" si="0"/>
        <v>3480757.5</v>
      </c>
      <c r="F15" s="113"/>
      <c r="G15" s="87"/>
      <c r="H15" s="1" t="s">
        <v>54</v>
      </c>
      <c r="I15" s="84">
        <f>SUM(I11:I14)</f>
        <v>36209311</v>
      </c>
      <c r="J15" s="87"/>
    </row>
    <row r="16" spans="1:11" ht="13.9" x14ac:dyDescent="0.4">
      <c r="B16" s="1" t="s">
        <v>170</v>
      </c>
      <c r="C16" s="40">
        <f>Inputs!C45</f>
        <v>25589624</v>
      </c>
      <c r="D16" s="207">
        <f>Inputs!D45</f>
        <v>0.6</v>
      </c>
      <c r="E16" s="88">
        <f t="shared" si="0"/>
        <v>15353774.399999999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829600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6985413</v>
      </c>
      <c r="D24" s="62">
        <f>IF(E24=0,0,E24/C24)</f>
        <v>0.76298486574809543</v>
      </c>
      <c r="E24" s="88">
        <f>SUM(E11:E14)</f>
        <v>5329764.4000000004</v>
      </c>
      <c r="F24" s="114">
        <f>E24/$E$28</f>
        <v>0.22056360896385802</v>
      </c>
      <c r="G24" s="87"/>
    </row>
    <row r="25" spans="2:10" ht="15" customHeight="1" x14ac:dyDescent="0.4">
      <c r="B25" s="23" t="s">
        <v>55</v>
      </c>
      <c r="C25" s="61">
        <f>SUM(C15:C17)</f>
        <v>32551139</v>
      </c>
      <c r="D25" s="62">
        <f>IF(E25=0,0,E25/C25)</f>
        <v>0.57861360550240648</v>
      </c>
      <c r="E25" s="88">
        <f>SUM(E15:E17)</f>
        <v>18834531.899999999</v>
      </c>
      <c r="F25" s="114">
        <f>E25/$E$28</f>
        <v>0.77943639103614204</v>
      </c>
      <c r="G25" s="87"/>
      <c r="H25" s="23" t="s">
        <v>56</v>
      </c>
      <c r="I25" s="63">
        <f>E28/I28</f>
        <v>0.65240299046589134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>
        <f>E26/$E$28</f>
        <v>0</v>
      </c>
      <c r="G26" s="87"/>
      <c r="H26" s="23" t="s">
        <v>58</v>
      </c>
      <c r="I26" s="63">
        <f>E24/($I$28-I22)</f>
        <v>0.14719320121832752</v>
      </c>
      <c r="J26" s="8" t="str">
        <f>IF(I26&lt;1,"Liquidity Problem!","")</f>
        <v>Liquidity Problem!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>
        <f>E27/$E$28</f>
        <v>0</v>
      </c>
      <c r="G27" s="87"/>
      <c r="H27" s="23" t="s">
        <v>60</v>
      </c>
      <c r="I27" s="63">
        <f>(E25+E24)/$I$28</f>
        <v>0.65240299046589134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39536552</v>
      </c>
      <c r="D28" s="57">
        <f>E28/C28</f>
        <v>0.61118876274289158</v>
      </c>
      <c r="E28" s="70">
        <f>SUM(E24:E27)</f>
        <v>24164296.299999997</v>
      </c>
      <c r="F28" s="113"/>
      <c r="G28" s="87"/>
      <c r="H28" s="78" t="s">
        <v>16</v>
      </c>
      <c r="I28" s="215">
        <f>Inputs!C70</f>
        <v>37038911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82672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21347</v>
      </c>
      <c r="D35" s="207">
        <f>Inputs!D57</f>
        <v>0.1</v>
      </c>
      <c r="E35" s="88">
        <f t="shared" si="1"/>
        <v>2134.7000000000003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4094</v>
      </c>
      <c r="D37" s="207">
        <f>Inputs!D59</f>
        <v>0.1</v>
      </c>
      <c r="E37" s="88">
        <f t="shared" si="1"/>
        <v>409.40000000000003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181735</v>
      </c>
      <c r="D38" s="207">
        <f>Inputs!D60</f>
        <v>0.1</v>
      </c>
      <c r="E38" s="88">
        <f t="shared" si="1"/>
        <v>18173.5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5722</v>
      </c>
      <c r="D40" s="207">
        <f>Inputs!D62</f>
        <v>0.05</v>
      </c>
      <c r="E40" s="88">
        <f t="shared" si="1"/>
        <v>286.10000000000002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118797</v>
      </c>
      <c r="D41" s="207">
        <f>Inputs!D63</f>
        <v>0.9</v>
      </c>
      <c r="E41" s="88">
        <f t="shared" si="1"/>
        <v>106917.3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343468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82672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21347</v>
      </c>
      <c r="D45" s="62">
        <f>IF(E45=0,0,E45/C45)</f>
        <v>0.10000000000000002</v>
      </c>
      <c r="E45" s="88">
        <f>SUM(E32:E35)</f>
        <v>2134.7000000000003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185829</v>
      </c>
      <c r="D46" s="62">
        <f>IF(E46=0,0,E46/C46)</f>
        <v>0.1</v>
      </c>
      <c r="E46" s="88">
        <f>E36+E37+E38+E39</f>
        <v>18582.900000000001</v>
      </c>
      <c r="F46" s="87"/>
      <c r="G46" s="87"/>
      <c r="H46" s="23" t="s">
        <v>81</v>
      </c>
      <c r="I46" s="63">
        <f>(E44+E24)/E64</f>
        <v>0.14719320121832752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467987</v>
      </c>
      <c r="D47" s="62">
        <f>IF(E47=0,0,E47/C47)</f>
        <v>0.22907345716868205</v>
      </c>
      <c r="E47" s="88">
        <f>E40+E41+E42</f>
        <v>107203.40000000001</v>
      </c>
      <c r="F47" s="87"/>
      <c r="G47" s="87"/>
      <c r="H47" s="23" t="s">
        <v>83</v>
      </c>
      <c r="I47" s="63">
        <f>(E44+E45+E24+E25)/$I$49</f>
        <v>0.6524606244497847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757835</v>
      </c>
      <c r="D48" s="82">
        <f>E48/C48</f>
        <v>0.16879795733899861</v>
      </c>
      <c r="E48" s="76">
        <f>SUM(E30:E42)</f>
        <v>127921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40294387</v>
      </c>
      <c r="D49" s="56">
        <f>E49/C49</f>
        <v>0.60286851615337878</v>
      </c>
      <c r="E49" s="88">
        <f>E28+E48</f>
        <v>24292217.299999997</v>
      </c>
      <c r="F49" s="87"/>
      <c r="G49" s="87"/>
      <c r="H49" s="3" t="s">
        <v>86</v>
      </c>
      <c r="I49" s="52">
        <f>I28+I48</f>
        <v>37038911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20815</v>
      </c>
      <c r="D53" s="29">
        <f>IF(E53=0, 0,E53/C53)</f>
        <v>1</v>
      </c>
      <c r="E53" s="88">
        <f>IF(C53=0,0,MAX(C53,C53*Dashboard!G23))</f>
        <v>20815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36209311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9945546</v>
      </c>
      <c r="D61" s="56">
        <f t="shared" ref="D61:D70" si="2">IF(E61=0,0,E61/C61)</f>
        <v>0.52893049813454185</v>
      </c>
      <c r="E61" s="52">
        <f>E14+E15+(E19*G19)+(E20*G20)+E31+E32+(E35*G35)+(E36*G36)+(E37*G37)</f>
        <v>5260502.6000000006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3422380</v>
      </c>
      <c r="D62" s="108">
        <f t="shared" si="2"/>
        <v>0.87825933999146799</v>
      </c>
      <c r="E62" s="119">
        <f>E11+E30</f>
        <v>3005737.2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13367926</v>
      </c>
      <c r="D63" s="29">
        <f t="shared" si="2"/>
        <v>0.6183636713728069</v>
      </c>
      <c r="E63" s="61">
        <f>E61+E62</f>
        <v>8266239.8000000007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36209311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-22841385</v>
      </c>
      <c r="D65" s="29">
        <f t="shared" si="2"/>
        <v>1.2233527520332064</v>
      </c>
      <c r="E65" s="61">
        <f>E63-E64</f>
        <v>-27943071.199999999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26926461</v>
      </c>
      <c r="D68" s="29">
        <f t="shared" si="2"/>
        <v>0.59517578266226656</v>
      </c>
      <c r="E68" s="68">
        <f>E49-E63</f>
        <v>16025977.499999996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829600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26096861</v>
      </c>
      <c r="D70" s="29">
        <f t="shared" si="2"/>
        <v>0.58230671880422691</v>
      </c>
      <c r="E70" s="68">
        <f>E68-E69</f>
        <v>15196377.499999996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1402495</v>
      </c>
      <c r="D74" s="218"/>
      <c r="E74" s="205">
        <f>H74</f>
        <v>1402495</v>
      </c>
      <c r="F74" s="218"/>
      <c r="H74" s="205">
        <f>C74</f>
        <v>1402495</v>
      </c>
      <c r="I74" s="218"/>
      <c r="K74" s="24"/>
    </row>
    <row r="75" spans="1:11" ht="15" customHeight="1" x14ac:dyDescent="0.4">
      <c r="B75" s="105" t="s">
        <v>109</v>
      </c>
      <c r="C75" s="77">
        <f>Data!C8</f>
        <v>669001</v>
      </c>
      <c r="D75" s="164">
        <f>C75/$C$74</f>
        <v>0.47700776116848903</v>
      </c>
      <c r="E75" s="186">
        <f>E74*F75</f>
        <v>669001</v>
      </c>
      <c r="F75" s="165">
        <f>I75</f>
        <v>0.47700776116848903</v>
      </c>
      <c r="H75" s="205">
        <f>D75*H74</f>
        <v>669001</v>
      </c>
      <c r="I75" s="165">
        <f>H75/$H$74</f>
        <v>0.47700776116848903</v>
      </c>
      <c r="K75" s="24"/>
    </row>
    <row r="76" spans="1:11" ht="15" customHeight="1" x14ac:dyDescent="0.4">
      <c r="B76" s="35" t="s">
        <v>96</v>
      </c>
      <c r="C76" s="166">
        <f>C74-C75</f>
        <v>733494</v>
      </c>
      <c r="D76" s="219"/>
      <c r="E76" s="167">
        <f>E74-E75</f>
        <v>733494</v>
      </c>
      <c r="F76" s="219"/>
      <c r="H76" s="167">
        <f>H74-H75</f>
        <v>733494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220152</v>
      </c>
      <c r="D77" s="164">
        <f>C77/$C$74</f>
        <v>0.15697168260849415</v>
      </c>
      <c r="E77" s="186">
        <f>E74*F77</f>
        <v>220152</v>
      </c>
      <c r="F77" s="165">
        <f>I77</f>
        <v>0.15697168260849415</v>
      </c>
      <c r="H77" s="205">
        <f>D77*H74</f>
        <v>220152</v>
      </c>
      <c r="I77" s="165">
        <f>H77/$H$74</f>
        <v>0.15697168260849415</v>
      </c>
      <c r="K77" s="24"/>
    </row>
    <row r="78" spans="1:11" ht="15" customHeight="1" x14ac:dyDescent="0.4">
      <c r="B78" s="35" t="s">
        <v>97</v>
      </c>
      <c r="C78" s="166">
        <f>C76-C77</f>
        <v>513342</v>
      </c>
      <c r="D78" s="219"/>
      <c r="E78" s="167">
        <f>E76-E77</f>
        <v>513342</v>
      </c>
      <c r="F78" s="219"/>
      <c r="H78" s="167">
        <f>H76-H77</f>
        <v>513342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0</v>
      </c>
      <c r="D79" s="164">
        <f>C79/$C$74</f>
        <v>0</v>
      </c>
      <c r="E79" s="186">
        <f>E74*F79</f>
        <v>0</v>
      </c>
      <c r="F79" s="165">
        <f t="shared" ref="F79:F84" si="3">I79</f>
        <v>0</v>
      </c>
      <c r="H79" s="205">
        <f>C79</f>
        <v>0</v>
      </c>
      <c r="I79" s="165">
        <f>H79/$H$74</f>
        <v>0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3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513342</v>
      </c>
      <c r="D83" s="169">
        <f>C83/$C$74</f>
        <v>0.36602055622301682</v>
      </c>
      <c r="E83" s="170">
        <f>E78-E79-E80-E81-E82</f>
        <v>513342</v>
      </c>
      <c r="F83" s="169">
        <f>E83/E74</f>
        <v>0.36602055622301682</v>
      </c>
      <c r="H83" s="170">
        <f>H78-H79-H80-H81-H82</f>
        <v>513342</v>
      </c>
      <c r="I83" s="169">
        <f>H83/$H$74</f>
        <v>0.36602055622301682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385006.5</v>
      </c>
      <c r="D85" s="171">
        <f>C85/$C$74</f>
        <v>0.27451541716726263</v>
      </c>
      <c r="E85" s="172">
        <f>E83*(1-F84)</f>
        <v>385006.5</v>
      </c>
      <c r="F85" s="171">
        <f>E85/E74</f>
        <v>0.27451541716726263</v>
      </c>
      <c r="H85" s="172">
        <f>H83*(1-I84)</f>
        <v>385006.5</v>
      </c>
      <c r="I85" s="171">
        <f>H85/$H$74</f>
        <v>0.27451541716726263</v>
      </c>
      <c r="K85" s="24"/>
    </row>
    <row r="86" spans="1:11" ht="15" customHeight="1" x14ac:dyDescent="0.4">
      <c r="B86" s="87" t="s">
        <v>172</v>
      </c>
      <c r="C86" s="173">
        <f>C85*Data!C4/Common_Shares</f>
        <v>1.5399583805137493</v>
      </c>
      <c r="D86" s="218"/>
      <c r="E86" s="174">
        <f>E85*Data!C4/Common_Shares</f>
        <v>1.5399583805137493</v>
      </c>
      <c r="F86" s="218"/>
      <c r="H86" s="174">
        <f>H85*Data!C4/Common_Shares</f>
        <v>1.5399583805137493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0.27385286550122157</v>
      </c>
      <c r="D87" s="218"/>
      <c r="E87" s="239">
        <f>E86*Exchange_Rate/Dashboard!G3</f>
        <v>0.27385286550122157</v>
      </c>
      <c r="F87" s="218"/>
      <c r="H87" s="239">
        <f>H86*Exchange_Rate/Dashboard!G3</f>
        <v>0.27385286550122157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0.59699999999999998</v>
      </c>
      <c r="D88" s="171">
        <f>C88/C86</f>
        <v>0.38767281476843118</v>
      </c>
      <c r="E88" s="204">
        <f>H88</f>
        <v>0.4</v>
      </c>
      <c r="F88" s="171">
        <f>E88/E86</f>
        <v>0.2597472795768383</v>
      </c>
      <c r="H88" s="176">
        <f>Inputs!F6</f>
        <v>0.4</v>
      </c>
      <c r="I88" s="171">
        <f>H88/H86</f>
        <v>0.2597472795768383</v>
      </c>
      <c r="K88" s="24"/>
    </row>
    <row r="89" spans="1:11" ht="15" customHeight="1" x14ac:dyDescent="0.4">
      <c r="B89" s="87" t="s">
        <v>246</v>
      </c>
      <c r="C89" s="165">
        <f>C88*Exchange_Rate/Dashboard!G3</f>
        <v>0.10616531120125916</v>
      </c>
      <c r="D89" s="218"/>
      <c r="E89" s="165">
        <f>E88*Exchange_Rate/Dashboard!G3</f>
        <v>7.1132536818264092E-2</v>
      </c>
      <c r="F89" s="218"/>
      <c r="H89" s="165">
        <f>H88*Exchange_Rate/Dashboard!G3</f>
        <v>7.1132536818264092E-2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71.741892508016818</v>
      </c>
      <c r="H93" s="87" t="s">
        <v>229</v>
      </c>
      <c r="I93" s="146">
        <f>FV(H87,D93,0,-(H86/C93))</f>
        <v>71.741892508016818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7.8332782441112014</v>
      </c>
      <c r="H94" s="87" t="s">
        <v>230</v>
      </c>
      <c r="I94" s="146">
        <f>FV(H89,D93,0,-(H88/C93))</f>
        <v>7.8332782441112014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13630810.32573173</v>
      </c>
      <c r="E97" s="124">
        <f>PV(C94,D93,0,-F93)*Exchange_Rate</f>
        <v>38.374905719347169</v>
      </c>
      <c r="F97" s="124">
        <f>PV(C93,D93,0,-F93)*Exchange_Rate</f>
        <v>54.520847295575344</v>
      </c>
      <c r="H97" s="124">
        <f>PV(C93,D93,0,-I93)*Exchange_Rate</f>
        <v>54.520847295575344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22394.434983332951</v>
      </c>
      <c r="E98" s="222"/>
      <c r="F98" s="222"/>
      <c r="H98" s="124">
        <f>C98*Data!$C$4/Common_Shares</f>
        <v>8.9573806752493434E-2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-30063381.754650176</v>
      </c>
      <c r="E99" s="223"/>
      <c r="F99" s="148">
        <f>IF(H99&gt;0,H99*0.85,H99*1.15)</f>
        <v>-138.28548396353395</v>
      </c>
      <c r="H99" s="148">
        <f>C99*Data!$C$4/Common_Shares</f>
        <v>-120.24824692481214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-16454965.863901779</v>
      </c>
      <c r="E100" s="110">
        <f>MAX(E97-H98+F99,0)</f>
        <v>0</v>
      </c>
      <c r="F100" s="110">
        <f>MAX(F97-H98+F99,0)</f>
        <v>0</v>
      </c>
      <c r="H100" s="110">
        <f>MAX(C100*Data!$C$4/Common_Shares,0)</f>
        <v>0</v>
      </c>
      <c r="I100" s="110">
        <f>H100*1.25</f>
        <v>0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1488306.5701428105</v>
      </c>
      <c r="E103" s="110">
        <f>PV(C94,D93,0,-F94)*Exchange_Rate</f>
        <v>4.1900388125053984</v>
      </c>
      <c r="F103" s="124">
        <f>PV(C93,D93,0,-F94)*Exchange_Rate</f>
        <v>5.9529648862164546</v>
      </c>
      <c r="H103" s="124">
        <f>PV(C93,D93,0,-I94)*Exchange_Rate</f>
        <v>5.9529648862164546</v>
      </c>
      <c r="I103" s="110">
        <f>H103*1.25</f>
        <v>7.4412061077705687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744153.28507140523</v>
      </c>
      <c r="E106" s="110">
        <f>(E100+E103)/2</f>
        <v>2.0950194062526992</v>
      </c>
      <c r="F106" s="124">
        <f>(F100+F103)/2</f>
        <v>2.9764824431082273</v>
      </c>
      <c r="H106" s="124">
        <f>(H100+H103)/2</f>
        <v>2.9764824431082273</v>
      </c>
      <c r="I106" s="110">
        <f>H106*1.25</f>
        <v>3.7206030538852843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