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D2CBE34-9945-41E4-830C-99B6F63B52F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5" i="4" l="1"/>
  <c r="F4" i="4"/>
  <c r="F36" i="3"/>
  <c r="F37" i="3"/>
  <c r="F35" i="3"/>
  <c r="F20" i="3"/>
  <c r="F19" i="3"/>
  <c r="D42" i="4" l="1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D46" i="2" s="1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I7" i="2" l="1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<sst xmlns="http://schemas.openxmlformats.org/spreadsheetml/2006/main" count="350" uniqueCount="250">
  <si>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</si>
  <si>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</si>
  <si>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</si>
  <si>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</si>
  <si>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</si>
  <si>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</si>
  <si>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</si>
  <si>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</si>
  <si>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</si>
  <si>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</si>
  <si>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</si>
  <si>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</si>
  <si>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</si>
  <si>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</si>
  <si>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</si>
  <si>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</si>
  <si>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</si>
  <si>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</si>
  <si>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</si>
  <si>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</si>
  <si>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</si>
  <si>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</si>
  <si>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</si>
  <si>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</si>
  <si>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</si>
  <si>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</si>
  <si>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</si>
  <si>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</si>
  <si>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</si>
  <si>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</si>
  <si>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</si>
  <si>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</si>
  <si>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</si>
  <si>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</si>
  <si>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</si>
  <si>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</si>
  <si>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</si>
  <si>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</si>
  <si>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</si>
  <si>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</si>
  <si>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</si>
  <si>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</si>
  <si>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</si>
  <si>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</si>
  <si>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</si>
  <si>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</si>
  <si>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</si>
  <si>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</si>
  <si>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</si>
  <si>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</si>
  <si>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</si>
  <si>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</si>
  <si>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</si>
  <si>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</si>
  <si>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</si>
  <si>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</si>
  <si>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</si>
  <si>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</si>
  <si>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</si>
  <si>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</si>
  <si>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</si>
  <si>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</si>
  <si>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</si>
  <si>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</si>
  <si>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</si>
  <si>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</si>
  <si>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</si>
  <si>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</si>
  <si>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</si>
  <si>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</si>
  <si>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</si>
  <si>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</si>
  <si>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</si>
  <si>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</si>
  <si>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</si>
  <si>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</si>
  <si>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</si>
  <si>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</si>
  <si>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</si>
  <si>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</si>
  <si>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</si>
  <si>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</si>
  <si>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</si>
  <si>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</si>
  <si>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</si>
  <si>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</si>
  <si>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</si>
  <si>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</si>
  <si>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</si>
  <si>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</si>
  <si>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</si>
  <si>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</si>
  <si>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</si>
  <si>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</si>
  <si>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</si>
  <si>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</si>
  <si>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</si>
  <si>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</si>
  <si>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</si>
  <si>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</si>
  <si>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</si>
  <si>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</si>
  <si>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</si>
  <si>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</si>
  <si>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</si>
  <si>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</si>
  <si>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</si>
  <si>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</si>
  <si>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</si>
  <si>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</si>
  <si>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</si>
  <si>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</si>
  <si>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</si>
  <si>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</si>
  <si>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</si>
  <si>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</si>
  <si>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</si>
  <si>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</si>
  <si>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</si>
  <si>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</si>
  <si>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</si>
  <si>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</si>
  <si>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</si>
  <si>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</si>
  <si>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</si>
  <si>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</si>
  <si>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</si>
  <si>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</si>
  <si>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</si>
  <si>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</si>
  <si>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</si>
  <si>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</si>
  <si>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</si>
  <si>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</si>
  <si>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</si>
  <si>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</si>
  <si>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</si>
  <si>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</si>
  <si>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</si>
  <si>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</si>
  <si>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</si>
  <si>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</si>
  <si>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</si>
  <si>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</si>
  <si>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</si>
  <si>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</si>
  <si>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</si>
  <si>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</si>
  <si>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</si>
  <si>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</si>
  <si>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</si>
  <si>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</si>
  <si>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</si>
  <si>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</si>
  <si>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</si>
  <si>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</si>
  <si>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</si>
  <si>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</si>
  <si>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</si>
  <si>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</si>
  <si>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</si>
  <si>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</si>
  <si>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</si>
  <si>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</si>
  <si>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</si>
  <si>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</si>
  <si>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</si>
  <si>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</si>
  <si>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</si>
  <si>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</si>
  <si>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</si>
  <si>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</si>
  <si>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</si>
  <si>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</si>
  <si>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</si>
  <si>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</si>
  <si>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</si>
  <si>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</si>
  <si>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</si>
  <si>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</si>
  <si>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</si>
  <si>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</si>
  <si>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</si>
  <si>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</si>
  <si>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</si>
  <si>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</si>
  <si>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</si>
  <si>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</si>
  <si>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</si>
  <si>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</si>
  <si>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</si>
  <si>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</si>
  <si>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</si>
  <si>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</si>
  <si>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</si>
  <si>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</si>
  <si>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</si>
  <si>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</si>
  <si>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</si>
  <si>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</si>
  <si>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</si>
  <si>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</si>
  <si>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</si>
  <si>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</si>
  <si>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</si>
  <si>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</si>
  <si>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</si>
  <si>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</si>
  <si>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</si>
  <si>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</si>
  <si>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</si>
  <si>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</si>
  <si>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</si>
  <si>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</si>
  <si>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</si>
  <si>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</si>
  <si>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</si>
  <si>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</si>
  <si>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</si>
  <si>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</si>
  <si>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</si>
  <si>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</si>
  <si>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</si>
  <si>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</si>
  <si>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</si>
  <si>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</si>
  <si>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</si>
  <si>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</si>
  <si>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</si>
  <si>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</si>
  <si>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</si>
  <si>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</si>
  <si>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</si>
  <si>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</si>
  <si>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</si>
  <si>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</si>
  <si>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</si>
  <si>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</si>
  <si>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</si>
  <si>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</si>
  <si>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</si>
  <si>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</si>
  <si>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</si>
  <si>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</si>
  <si>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</si>
  <si>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Dividend</t>
  </si>
  <si>
    <t>D/P Dividend Yield</t>
    <phoneticPr fontId="20" type="noConversion"/>
  </si>
  <si>
    <t>1288.HK</t>
    <phoneticPr fontId="20" type="noConversion"/>
  </si>
  <si>
    <t>农业银行</t>
    <phoneticPr fontId="20" type="noConversion"/>
  </si>
  <si>
    <t>C0014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</si>
</sst>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G8" sqref="G8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1288.HK : 农业银行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6" t="str">
        <f>Inputs!C4</f>
        <v>1288.HK</v>
      </c>
      <c r="D3" s="247"/>
      <c r="E3" s="87"/>
      <c r="F3" s="3" t="s">
        <v>1</v>
      </c>
      <c r="G3" s="133">
        <v>3.9500000476837158</v>
      </c>
      <c r="H3" s="135" t="s">
        <v>2</v>
      </c>
    </row>
    <row r="4" spans="1:10" ht="15.75" customHeight="1" x14ac:dyDescent="0.4">
      <c r="B4" s="35" t="s">
        <v>212</v>
      </c>
      <c r="C4" s="248" t="str">
        <f>Inputs!C5</f>
        <v>农业银行</v>
      </c>
      <c r="D4" s="249"/>
      <c r="E4" s="87"/>
      <c r="F4" s="3" t="s">
        <v>3</v>
      </c>
      <c r="G4" s="252">
        <f>Inputs!C10</f>
        <v>349983033873</v>
      </c>
      <c r="H4" s="252"/>
      <c r="I4" s="39"/>
    </row>
    <row r="5" spans="1:10" ht="15.75" customHeight="1" x14ac:dyDescent="0.4">
      <c r="B5" s="3" t="s">
        <v>175</v>
      </c>
      <c r="C5" s="250">
        <f>Inputs!C6</f>
        <v>45593</v>
      </c>
      <c r="D5" s="251"/>
      <c r="E5" s="34"/>
      <c r="F5" s="35" t="s">
        <v>102</v>
      </c>
      <c r="G5" s="244">
        <f>G3*G4/1000000</f>
        <v>1382433.0004868417</v>
      </c>
      <c r="H5" s="244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5" t="str">
        <f>Inputs!C11</f>
        <v>CNY</v>
      </c>
      <c r="H6" s="245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C0014</v>
      </c>
      <c r="E7" s="87"/>
      <c r="F7" s="35" t="s">
        <v>6</v>
      </c>
      <c r="G7" s="134">
        <v>1.0758796532948811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0.11401933240696355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0.19137095648691452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0.49449639261897682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0.1537241930799868</v>
      </c>
    </row>
    <row r="25" spans="1:8" ht="15.75" customHeight="1" x14ac:dyDescent="0.4">
      <c r="B25" s="138" t="s">
        <v>208</v>
      </c>
      <c r="C25" s="177">
        <f>Fin_Analysis!I82</f>
        <v>3.5193961201691735E-4</v>
      </c>
      <c r="F25" s="141" t="s">
        <v>188</v>
      </c>
      <c r="G25" s="177">
        <f>Fin_Analysis!I88</f>
        <v>0.40911773315703032</v>
      </c>
    </row>
    <row r="26" spans="1:8" ht="15.75" customHeight="1" x14ac:dyDescent="0.4">
      <c r="B26" s="139" t="s">
        <v>187</v>
      </c>
      <c r="C26" s="177">
        <f>Fin_Analysis!I83</f>
        <v>0.19976137887512818</v>
      </c>
      <c r="F26" s="142" t="s">
        <v>210</v>
      </c>
      <c r="G26" s="184">
        <f>Fin_Analysis!H88*Exchange_Rate/G3</f>
        <v>6.2891293404277848E-2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2" t="str">
        <f>Fin_Analysis!H96</f>
        <v>Base Case</v>
      </c>
      <c r="H28" s="242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2.327073909196768</v>
      </c>
      <c r="D29" s="130">
        <f>IF(Fin_Analysis!C108="Profit",Fin_Analysis!I100,IF(Fin_Analysis!C108="Dividend",Fin_Analysis!I103,Fin_Analysis!I106))</f>
        <v>4.1327150800291577</v>
      </c>
      <c r="E29" s="87"/>
      <c r="F29" s="132">
        <f>IF(Fin_Analysis!C108="Profit",Fin_Analysis!F100,IF(Fin_Analysis!C108="Dividend",Fin_Analysis!F103,Fin_Analysis!F106))</f>
        <v>3.3061720640233259</v>
      </c>
      <c r="G29" s="243">
        <f>IF(Fin_Analysis!C108="Profit",Fin_Analysis!H100,IF(Fin_Analysis!C108="Dividend",Fin_Analysis!H103,Fin_Analysis!H106))</f>
        <v>3.3061720640233259</v>
      </c>
      <c r="H29" s="243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C14" sqref="C14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247</v>
      </c>
      <c r="E4" s="240" t="s">
        <v>227</v>
      </c>
      <c r="F4" s="12" t="str">
        <f>C11</f>
        <v>CNY</v>
      </c>
    </row>
    <row r="5" spans="1:6" ht="15" x14ac:dyDescent="0.5">
      <c r="B5" s="142" t="s">
        <v>212</v>
      </c>
      <c r="C5" s="241" t="s">
        <v>248</v>
      </c>
      <c r="E5" s="231">
        <f>C18</f>
        <v>45291</v>
      </c>
      <c r="F5" s="232">
        <f>0.2309+0.1164</f>
        <v>0.3473</v>
      </c>
    </row>
    <row r="6" spans="1:6" ht="13.9" x14ac:dyDescent="0.4">
      <c r="B6" s="142" t="s">
        <v>175</v>
      </c>
      <c r="C6" s="196">
        <v>45593</v>
      </c>
      <c r="E6" s="233" t="s">
        <v>225</v>
      </c>
      <c r="F6" s="232">
        <v>0.23089999999999999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236</v>
      </c>
      <c r="C8" s="198" t="s">
        <v>46</v>
      </c>
    </row>
    <row r="9" spans="1:6" ht="13.9" x14ac:dyDescent="0.4">
      <c r="B9" s="141" t="s">
        <v>237</v>
      </c>
      <c r="C9" s="199" t="s">
        <v>249</v>
      </c>
    </row>
    <row r="10" spans="1:6" ht="13.9" x14ac:dyDescent="0.4">
      <c r="B10" s="141" t="s">
        <v>238</v>
      </c>
      <c r="C10" s="200">
        <v>349983033873</v>
      </c>
    </row>
    <row r="11" spans="1:6" ht="13.9" x14ac:dyDescent="0.4">
      <c r="B11" s="141" t="s">
        <v>239</v>
      </c>
      <c r="C11" s="199" t="s">
        <v>243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1000000</v>
      </c>
    </row>
    <row r="14" spans="1:6" ht="13.9" x14ac:dyDescent="0.4">
      <c r="B14" s="227" t="s">
        <v>241</v>
      </c>
      <c r="C14" s="228">
        <v>45473</v>
      </c>
    </row>
    <row r="15" spans="1:6" ht="13.9" x14ac:dyDescent="0.4">
      <c r="B15" s="227" t="s">
        <v>240</v>
      </c>
      <c r="C15" s="182" t="s">
        <v>244</v>
      </c>
    </row>
    <row r="16" spans="1:6" ht="13.9" x14ac:dyDescent="0.4">
      <c r="B16" s="234" t="s">
        <v>98</v>
      </c>
      <c r="C16" s="235">
        <v>0.25</v>
      </c>
      <c r="D16" s="24"/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1318408</v>
      </c>
      <c r="D19" s="152">
        <v>1203982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150324</v>
      </c>
      <c r="D20" s="153">
        <v>159502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252305</v>
      </c>
      <c r="D21" s="153">
        <v>243571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651948</v>
      </c>
      <c r="D26" s="153">
        <v>518581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464</v>
      </c>
      <c r="D27" s="153">
        <v>-366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/>
      <c r="D40" s="60">
        <v>0.9</v>
      </c>
      <c r="E40" s="113"/>
    </row>
    <row r="41" spans="2:13" ht="13.9" x14ac:dyDescent="0.4">
      <c r="B41" s="1" t="s">
        <v>146</v>
      </c>
      <c r="C41" s="59"/>
      <c r="D41" s="60">
        <v>0.8</v>
      </c>
      <c r="E41" s="113"/>
    </row>
    <row r="42" spans="2:13" ht="13.9" x14ac:dyDescent="0.4">
      <c r="B42" s="3" t="s">
        <v>121</v>
      </c>
      <c r="C42" s="59"/>
      <c r="D42" s="60">
        <f>D43</f>
        <v>0.6</v>
      </c>
      <c r="E42" s="113"/>
    </row>
    <row r="43" spans="2:13" ht="13.9" x14ac:dyDescent="0.4">
      <c r="B43" s="3" t="s">
        <v>42</v>
      </c>
      <c r="C43" s="59"/>
      <c r="D43" s="60">
        <v>0.6</v>
      </c>
      <c r="E43" s="113"/>
    </row>
    <row r="44" spans="2:13" ht="13.9" x14ac:dyDescent="0.4">
      <c r="B44" s="3" t="s">
        <v>44</v>
      </c>
      <c r="C44" s="59"/>
      <c r="D44" s="60">
        <v>0.5</v>
      </c>
      <c r="E44" s="113"/>
    </row>
    <row r="45" spans="2:13" ht="13.9" x14ac:dyDescent="0.4">
      <c r="B45" s="1" t="s">
        <v>170</v>
      </c>
      <c r="C45" s="59"/>
      <c r="D45" s="60">
        <f>D42</f>
        <v>0.6</v>
      </c>
      <c r="E45" s="113"/>
    </row>
    <row r="46" spans="2:13" ht="13.9" x14ac:dyDescent="0.4">
      <c r="B46" s="3" t="s">
        <v>122</v>
      </c>
      <c r="C46" s="59"/>
      <c r="D46" s="60">
        <v>0.1</v>
      </c>
      <c r="E46" s="113"/>
    </row>
    <row r="47" spans="2:13" ht="13.9" x14ac:dyDescent="0.4">
      <c r="B47" s="3" t="s">
        <v>47</v>
      </c>
      <c r="C47" s="59"/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/>
      <c r="D50" s="60">
        <f>D40</f>
        <v>0.9</v>
      </c>
      <c r="E50" s="113"/>
    </row>
    <row r="51" spans="2:5" ht="13.9" x14ac:dyDescent="0.4">
      <c r="B51" s="35" t="s">
        <v>51</v>
      </c>
      <c r="C51" s="121"/>
      <c r="D51" s="202">
        <f>D62</f>
        <v>0.05</v>
      </c>
      <c r="E51" s="113"/>
    </row>
    <row r="52" spans="2:5" ht="13.9" x14ac:dyDescent="0.4">
      <c r="B52" s="3" t="s">
        <v>61</v>
      </c>
      <c r="C52" s="59"/>
      <c r="D52" s="60">
        <f>D41</f>
        <v>0.8</v>
      </c>
      <c r="E52" s="113"/>
    </row>
    <row r="53" spans="2:5" ht="13.9" x14ac:dyDescent="0.4">
      <c r="B53" s="3" t="s">
        <v>63</v>
      </c>
      <c r="C53" s="59"/>
      <c r="D53" s="60">
        <f>D43</f>
        <v>0.6</v>
      </c>
      <c r="E53" s="113"/>
    </row>
    <row r="54" spans="2:5" ht="13.9" x14ac:dyDescent="0.4">
      <c r="B54" s="3" t="s">
        <v>65</v>
      </c>
      <c r="C54" s="59"/>
      <c r="D54" s="60">
        <f>D44</f>
        <v>0.5</v>
      </c>
      <c r="E54" s="113"/>
    </row>
    <row r="55" spans="2:5" ht="13.9" x14ac:dyDescent="0.4">
      <c r="B55" s="1" t="s">
        <v>171</v>
      </c>
      <c r="C55" s="59"/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/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/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/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/>
      <c r="D62" s="60">
        <v>0.05</v>
      </c>
      <c r="E62" s="113"/>
    </row>
    <row r="63" spans="2:5" ht="13.9" x14ac:dyDescent="0.4">
      <c r="B63" s="3" t="s">
        <v>75</v>
      </c>
      <c r="C63" s="59"/>
      <c r="D63" s="60">
        <f>D50</f>
        <v>0.9</v>
      </c>
      <c r="E63" s="113"/>
    </row>
    <row r="64" spans="2:5" ht="13.9" x14ac:dyDescent="0.4">
      <c r="B64" s="3" t="s">
        <v>76</v>
      </c>
      <c r="C64" s="59"/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242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263212.33333333331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1318408</v>
      </c>
      <c r="D6" s="209">
        <f>IF(Inputs!D19="","",Inputs!D19)</f>
        <v>1203982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9.5039626838274938E-2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150324</v>
      </c>
      <c r="D8" s="208">
        <f>IF(Inputs!D20="","",Inputs!D20)</f>
        <v>159502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1168084</v>
      </c>
      <c r="D9" s="154">
        <f t="shared" si="2"/>
        <v>1044480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252305</v>
      </c>
      <c r="D10" s="208">
        <f>IF(Inputs!D21="","",Inputs!D21)</f>
        <v>243571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915779</v>
      </c>
      <c r="D13" s="154">
        <f t="shared" ref="D13:M13" si="4">IF(D6="","",(D9-D10+MAX(D12,0)))</f>
        <v>800909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651948</v>
      </c>
      <c r="D17" s="208">
        <f>IF(Inputs!D26="","",Inputs!D26)</f>
        <v>518581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464</v>
      </c>
      <c r="D18" s="208">
        <f>IF(Inputs!D27="","",Inputs!D27)</f>
        <v>-366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263212.33333333331</v>
      </c>
      <c r="D19" s="237">
        <f>IF(D6="","",D9-D10-MAX(D17,0)-MAX(D18,0)/(1-Fin_Analysis!$I$84))</f>
        <v>282328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-6.7707300255967121E-2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263212.33333333331</v>
      </c>
      <c r="D21" s="77">
        <f>IF(D6="","",D13-MAX(D14,0)-MAX(D15,0)-MAX(D16,0)-MAX(D17,0)-MAX(D18,0)/(1-Fin_Analysis!$I$84))</f>
        <v>282328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-6.7707300255967121E-2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0.14973304925334191</v>
      </c>
      <c r="D23" s="157">
        <f t="shared" si="7"/>
        <v>0.17587140007076518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197409.25</v>
      </c>
      <c r="D24" s="77">
        <f>IF(D6="","",D21*(1-Fin_Analysis!$I$84))</f>
        <v>211746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-6.7707300255967051E-2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0.11401933240696355</v>
      </c>
      <c r="D42" s="161">
        <f t="shared" si="33"/>
        <v>0.13247872476498818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0.19137095648691452</v>
      </c>
      <c r="D43" s="157">
        <f t="shared" ref="D43:M43" si="34">IF(D6="","",(D10-MAX(D12,0))/D6)</f>
        <v>0.20230451950278328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0.49449639261897682</v>
      </c>
      <c r="D46" s="157">
        <f t="shared" ref="D46:M46" si="37">IF(D6="","",MAX(D17,0)/D6)</f>
        <v>0.43072155563787501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4.6925281602255647E-4</v>
      </c>
      <c r="D47" s="157">
        <f>IF(D6="","",MAX(D18,0)/(1-Fin_Analysis!$I$84)/D6)</f>
        <v>0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0.19964406567112253</v>
      </c>
      <c r="D48" s="157">
        <f t="shared" si="38"/>
        <v>0.23449520009435357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2.4768900140191001</v>
      </c>
      <c r="D55" s="157">
        <f t="shared" ref="D55:M55" si="43">IF(D21="","",IF(MAX(D17,0)&lt;=0,"-",D17/D21))</f>
        <v>1.8368032926241817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89" zoomScaleNormal="100" workbookViewId="0">
      <selection activeCell="C106" sqref="C106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2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4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 t="shared" si="1"/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1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</v>
      </c>
      <c r="E41" s="88">
        <f t="shared" si="1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3">
        <f>I15+I34</f>
        <v>0</v>
      </c>
      <c r="E56" s="25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2">
        <f>Inputs!C77</f>
        <v>0</v>
      </c>
      <c r="E57" s="25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2">
        <f>Inputs!C78</f>
        <v>0</v>
      </c>
      <c r="E58" s="25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2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6">
        <f>Data!C5</f>
        <v>45291</v>
      </c>
      <c r="D72" s="256"/>
      <c r="E72" s="254" t="s">
        <v>226</v>
      </c>
      <c r="F72" s="254"/>
      <c r="H72" s="254" t="s">
        <v>225</v>
      </c>
      <c r="I72" s="254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55" t="s">
        <v>103</v>
      </c>
      <c r="D73" s="255"/>
      <c r="E73" s="257" t="s">
        <v>104</v>
      </c>
      <c r="F73" s="255"/>
      <c r="H73" s="257" t="s">
        <v>104</v>
      </c>
      <c r="I73" s="255"/>
      <c r="K73" s="24"/>
    </row>
    <row r="74" spans="1:11" ht="15" customHeight="1" x14ac:dyDescent="0.4">
      <c r="B74" s="3" t="s">
        <v>136</v>
      </c>
      <c r="C74" s="77">
        <f>Data!C6</f>
        <v>1318408</v>
      </c>
      <c r="D74" s="218"/>
      <c r="E74" s="205">
        <f>H74</f>
        <v>1318408</v>
      </c>
      <c r="F74" s="218"/>
      <c r="H74" s="205">
        <f>C74</f>
        <v>1318408</v>
      </c>
      <c r="I74" s="218"/>
      <c r="K74" s="24"/>
    </row>
    <row r="75" spans="1:11" ht="15" customHeight="1" x14ac:dyDescent="0.4">
      <c r="B75" s="105" t="s">
        <v>109</v>
      </c>
      <c r="C75" s="77">
        <f>Data!C8</f>
        <v>150324</v>
      </c>
      <c r="D75" s="164">
        <f>C75/$C$74</f>
        <v>0.11401933240696355</v>
      </c>
      <c r="E75" s="186">
        <f>E74*F75</f>
        <v>150324</v>
      </c>
      <c r="F75" s="165">
        <f>I75</f>
        <v>0.11401933240696355</v>
      </c>
      <c r="H75" s="205">
        <f>D75*H74</f>
        <v>150324</v>
      </c>
      <c r="I75" s="165">
        <f>H75/$H$74</f>
        <v>0.11401933240696355</v>
      </c>
      <c r="K75" s="24"/>
    </row>
    <row r="76" spans="1:11" ht="15" customHeight="1" x14ac:dyDescent="0.4">
      <c r="B76" s="35" t="s">
        <v>96</v>
      </c>
      <c r="C76" s="166">
        <f>C74-C75</f>
        <v>1168084</v>
      </c>
      <c r="D76" s="219"/>
      <c r="E76" s="167">
        <f>E74-E75</f>
        <v>1168084</v>
      </c>
      <c r="F76" s="219"/>
      <c r="H76" s="167">
        <f>H74-H75</f>
        <v>1168084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252305</v>
      </c>
      <c r="D77" s="164">
        <f>C77/$C$74</f>
        <v>0.19137095648691452</v>
      </c>
      <c r="E77" s="186">
        <f>E74*F77</f>
        <v>252305</v>
      </c>
      <c r="F77" s="165">
        <f>I77</f>
        <v>0.19137095648691452</v>
      </c>
      <c r="H77" s="205">
        <f>D77*H74</f>
        <v>252305</v>
      </c>
      <c r="I77" s="165">
        <f>H77/$H$74</f>
        <v>0.19137095648691452</v>
      </c>
      <c r="K77" s="24"/>
    </row>
    <row r="78" spans="1:11" ht="15" customHeight="1" x14ac:dyDescent="0.4">
      <c r="B78" s="35" t="s">
        <v>97</v>
      </c>
      <c r="C78" s="166">
        <f>C76-C77</f>
        <v>915779</v>
      </c>
      <c r="D78" s="219"/>
      <c r="E78" s="167">
        <f>E76-E77</f>
        <v>915779</v>
      </c>
      <c r="F78" s="219"/>
      <c r="H78" s="167">
        <f>H76-H77</f>
        <v>915779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651948</v>
      </c>
      <c r="D79" s="164">
        <f>C79/$C$74</f>
        <v>0.49449639261897682</v>
      </c>
      <c r="E79" s="186">
        <f>E74*F79</f>
        <v>651948</v>
      </c>
      <c r="F79" s="165">
        <f t="shared" ref="F79:F84" si="3">I79</f>
        <v>0.49449639261897682</v>
      </c>
      <c r="H79" s="205">
        <f>C79</f>
        <v>651948</v>
      </c>
      <c r="I79" s="165">
        <f>H79/$H$74</f>
        <v>0.49449639261897682</v>
      </c>
      <c r="K79" s="24"/>
    </row>
    <row r="80" spans="1:11" ht="15" customHeight="1" x14ac:dyDescent="0.4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3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464</v>
      </c>
      <c r="D82" s="164">
        <f>C82/$C$74</f>
        <v>3.5193961201691735E-4</v>
      </c>
      <c r="E82" s="186">
        <f>E74*F82</f>
        <v>463.99999999999994</v>
      </c>
      <c r="F82" s="165">
        <f t="shared" si="3"/>
        <v>3.5193961201691735E-4</v>
      </c>
      <c r="H82" s="205">
        <f>H74*D82</f>
        <v>463.99999999999994</v>
      </c>
      <c r="I82" s="165">
        <f>H82/$H$74</f>
        <v>3.5193961201691735E-4</v>
      </c>
      <c r="K82" s="24"/>
    </row>
    <row r="83" spans="1:11" ht="15" customHeight="1" thickBot="1" x14ac:dyDescent="0.45">
      <c r="B83" s="106" t="s">
        <v>134</v>
      </c>
      <c r="C83" s="168">
        <f>C78-C79-C80-C81-C82</f>
        <v>263367</v>
      </c>
      <c r="D83" s="169">
        <f>C83/$C$74</f>
        <v>0.19976137887512818</v>
      </c>
      <c r="E83" s="170">
        <f>E78-E79-E80-E81-E82</f>
        <v>263367</v>
      </c>
      <c r="F83" s="169">
        <f>E83/E74</f>
        <v>0.19976137887512818</v>
      </c>
      <c r="H83" s="170">
        <f>H78-H79-H80-H81-H82</f>
        <v>263367</v>
      </c>
      <c r="I83" s="169">
        <f>H83/$H$74</f>
        <v>0.19976137887512818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197525.25</v>
      </c>
      <c r="D85" s="171">
        <f>C85/$C$74</f>
        <v>0.14982103415634615</v>
      </c>
      <c r="E85" s="172">
        <f>E83*(1-F84)</f>
        <v>197525.25</v>
      </c>
      <c r="F85" s="171">
        <f>E85/E74</f>
        <v>0.14982103415634615</v>
      </c>
      <c r="H85" s="172">
        <f>H83*(1-I84)</f>
        <v>197525.25</v>
      </c>
      <c r="I85" s="171">
        <f>H85/$H$74</f>
        <v>0.14982103415634615</v>
      </c>
      <c r="K85" s="24"/>
    </row>
    <row r="86" spans="1:11" ht="15" customHeight="1" x14ac:dyDescent="0.4">
      <c r="B86" s="87" t="s">
        <v>172</v>
      </c>
      <c r="C86" s="173">
        <f>C85*Data!C4/Common_Shares</f>
        <v>0.56438521551783827</v>
      </c>
      <c r="D86" s="218"/>
      <c r="E86" s="174">
        <f>E85*Data!C4/Common_Shares</f>
        <v>0.56438521551783827</v>
      </c>
      <c r="F86" s="218"/>
      <c r="H86" s="174">
        <f>H85*Data!C4/Common_Shares</f>
        <v>0.56438521551783827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0.1537241930799868</v>
      </c>
      <c r="D87" s="218"/>
      <c r="E87" s="239">
        <f>E86*Exchange_Rate/Dashboard!G3</f>
        <v>0.1537241930799868</v>
      </c>
      <c r="F87" s="218"/>
      <c r="H87" s="239">
        <f>H86*Exchange_Rate/Dashboard!G3</f>
        <v>0.1537241930799868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0.3473</v>
      </c>
      <c r="D88" s="171">
        <f>C88/C86</f>
        <v>0.61535984723012827</v>
      </c>
      <c r="E88" s="204">
        <f>H88</f>
        <v>0.23089999999999999</v>
      </c>
      <c r="F88" s="171">
        <f>E88/E86</f>
        <v>0.40911773315703032</v>
      </c>
      <c r="H88" s="176">
        <f>Inputs!F6</f>
        <v>0.23089999999999999</v>
      </c>
      <c r="I88" s="171">
        <f>H88/H86</f>
        <v>0.40911773315703032</v>
      </c>
      <c r="K88" s="24"/>
    </row>
    <row r="89" spans="1:11" ht="15" customHeight="1" x14ac:dyDescent="0.4">
      <c r="B89" s="87" t="s">
        <v>246</v>
      </c>
      <c r="C89" s="165">
        <f>C88*Exchange_Rate/Dashboard!G3</f>
        <v>9.4595695969275417E-2</v>
      </c>
      <c r="D89" s="218"/>
      <c r="E89" s="165">
        <f>E88*Exchange_Rate/Dashboard!G3</f>
        <v>6.2891293404277848E-2</v>
      </c>
      <c r="F89" s="218"/>
      <c r="H89" s="165">
        <f>H88*Exchange_Rate/Dashboard!G3</f>
        <v>6.2891293404277848E-2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4" t="s">
        <v>226</v>
      </c>
      <c r="F92" s="254"/>
      <c r="G92" s="87"/>
      <c r="H92" s="254" t="s">
        <v>225</v>
      </c>
      <c r="I92" s="254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229</v>
      </c>
      <c r="F93" s="146">
        <f>FV(E87,D93,0,-(E86/C93))</f>
        <v>16.023343042772456</v>
      </c>
      <c r="H93" s="87" t="s">
        <v>229</v>
      </c>
      <c r="I93" s="146">
        <f>FV(H87,D93,0,-(H86/C93))</f>
        <v>16.023343042772456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4.3504650531984455</v>
      </c>
      <c r="H94" s="87" t="s">
        <v>230</v>
      </c>
      <c r="I94" s="146">
        <f>FV(H89,D93,0,-(H88/C93))</f>
        <v>4.3504650531984455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4261768.8398908321</v>
      </c>
      <c r="E97" s="124">
        <f>PV(C94,D93,0,-F93)*Exchange_Rate</f>
        <v>8.5709235856363684</v>
      </c>
      <c r="F97" s="124">
        <f>PV(C93,D93,0,-F93)*Exchange_Rate</f>
        <v>12.177072679006836</v>
      </c>
      <c r="H97" s="124">
        <f>PV(C93,D93,0,-I93)*Exchange_Rate</f>
        <v>12.177072679006836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148">
        <f>IF(H99&gt;0,H99*0.85,H99*1.15)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4261768.8398908321</v>
      </c>
      <c r="E100" s="110">
        <f>MAX(E97-H98+F99,0)</f>
        <v>8.5709235856363684</v>
      </c>
      <c r="F100" s="110">
        <f>MAX(F97-H98+F99,0)</f>
        <v>12.177072679006836</v>
      </c>
      <c r="H100" s="110">
        <f>MAX(C100*Data!$C$4/Common_Shares,0)</f>
        <v>12.177072679006836</v>
      </c>
      <c r="I100" s="110">
        <f>H100*1.25</f>
        <v>15.221340848758544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1157104.129473042</v>
      </c>
      <c r="E103" s="110">
        <f>PV(C94,D93,0,-F94)*Exchange_Rate</f>
        <v>2.327073909196768</v>
      </c>
      <c r="F103" s="124">
        <f>PV(C93,D93,0,-F94)*Exchange_Rate</f>
        <v>3.3061720640233259</v>
      </c>
      <c r="H103" s="124">
        <f>PV(C93,D93,0,-I94)*Exchange_Rate</f>
        <v>3.3061720640233259</v>
      </c>
      <c r="I103" s="110">
        <f>H103*1.25</f>
        <v>4.1327150800291577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2709436.4846819369</v>
      </c>
      <c r="E106" s="110">
        <f>(E100+E103)/2</f>
        <v>5.4489987474165682</v>
      </c>
      <c r="F106" s="124">
        <f>(F100+F103)/2</f>
        <v>7.7416223715150805</v>
      </c>
      <c r="H106" s="124">
        <f>(H100+H103)/2</f>
        <v>7.7416223715150805</v>
      </c>
      <c r="I106" s="110">
        <f>H106*1.25</f>
        <v>9.6770279643938508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245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2024-11-19T05:27:49Z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