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1B5E12E-F9AC-4F82-AC2D-A4AA789A069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H89" i="3" l="1"/>
  <c r="E89" i="3"/>
  <c r="C89" i="3"/>
  <c r="H87" i="3"/>
  <c r="E87" i="3"/>
  <c r="C87" i="3"/>
  <c r="F36" i="3"/>
  <c r="F37" i="3"/>
  <c r="F35" i="3"/>
  <c r="F20" i="3"/>
  <c r="F19" i="3"/>
  <c r="F6" i="4" l="1"/>
  <c r="D42" i="4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C88" i="3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G28" i="1" s="1"/>
  <c r="F96" i="3"/>
  <c r="F28" i="1" s="1"/>
  <c r="F84" i="3"/>
  <c r="D46" i="2" l="1"/>
  <c r="I7" i="2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25" i="1"/>
  <c r="C48" i="2"/>
  <c r="D88" i="3" l="1"/>
  <c r="I83" i="3"/>
  <c r="H85" i="3"/>
  <c r="I22" i="3"/>
  <c r="C26" i="1" l="1"/>
  <c r="I85" i="3"/>
  <c r="H86" i="3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<sst xmlns="http://schemas.openxmlformats.org/spreadsheetml/2006/main" count="350" uniqueCount="250">
  <si>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</si>
  <si>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</si>
  <si>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</si>
  <si>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</si>
  <si>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</si>
  <si>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</si>
  <si>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</si>
  <si>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</si>
  <si>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</si>
  <si>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</si>
  <si>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</si>
  <si>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</si>
  <si>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</si>
  <si>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</si>
  <si>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</si>
  <si>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</si>
  <si>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</si>
  <si>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</si>
  <si>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</si>
  <si>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</si>
  <si>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</si>
  <si>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</si>
  <si>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</si>
  <si>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</si>
  <si>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</si>
  <si>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</si>
  <si>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</si>
  <si>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</si>
  <si>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</si>
  <si>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</si>
  <si>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</si>
  <si>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</si>
  <si>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</si>
  <si>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</si>
  <si>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</si>
  <si>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</si>
  <si>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</si>
  <si>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</si>
  <si>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</si>
  <si>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</si>
  <si>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</si>
  <si>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</si>
  <si>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</si>
  <si>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</si>
  <si>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</si>
  <si>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</si>
  <si>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</si>
  <si>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</si>
  <si>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</si>
  <si>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</si>
  <si>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</si>
  <si>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</si>
  <si>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</si>
  <si>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</si>
  <si>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</si>
  <si>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</si>
  <si>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</si>
  <si>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</si>
  <si>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</si>
  <si>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</si>
  <si>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</si>
  <si>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</si>
  <si>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</si>
  <si>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</si>
  <si>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</si>
  <si>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</si>
  <si>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</si>
  <si>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</si>
  <si>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</si>
  <si>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</si>
  <si>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</si>
  <si>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</si>
  <si>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</si>
  <si>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</si>
  <si>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</si>
  <si>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</si>
  <si>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</si>
  <si>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</si>
  <si>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</si>
  <si>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</si>
  <si>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</si>
  <si>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</si>
  <si>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</si>
  <si>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</si>
  <si>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</si>
  <si>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</si>
  <si>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</si>
  <si>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</si>
  <si>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</si>
  <si>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</si>
  <si>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</si>
  <si>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</si>
  <si>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</si>
  <si>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</si>
  <si>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</si>
  <si>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</si>
  <si>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</si>
  <si>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</si>
  <si>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</si>
  <si>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</si>
  <si>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</si>
  <si>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</si>
  <si>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</si>
  <si>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</si>
  <si>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</si>
  <si>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</si>
  <si>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</si>
  <si>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</si>
  <si>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</si>
  <si>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</si>
  <si>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</si>
  <si>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</si>
  <si>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</si>
  <si>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</si>
  <si>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</si>
  <si>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</si>
  <si>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</si>
  <si>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</si>
  <si>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</si>
  <si>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</si>
  <si>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</si>
  <si>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</si>
  <si>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</si>
  <si>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</si>
  <si>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</si>
  <si>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</si>
  <si>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</si>
  <si>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</si>
  <si>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</si>
  <si>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</si>
  <si>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</si>
  <si>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</si>
  <si>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</si>
  <si>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</si>
  <si>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</si>
  <si>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</si>
  <si>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</si>
  <si>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</si>
  <si>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</si>
  <si>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</si>
  <si>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</si>
  <si>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</si>
  <si>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</si>
  <si>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</si>
  <si>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</si>
  <si>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</si>
  <si>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</si>
  <si>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</si>
  <si>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</si>
  <si>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</si>
  <si>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</si>
  <si>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</si>
  <si>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</si>
  <si>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</si>
  <si>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</si>
  <si>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</si>
  <si>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</si>
  <si>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</si>
  <si>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</si>
  <si>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</si>
  <si>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</si>
  <si>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</si>
  <si>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</si>
  <si>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</si>
  <si>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</si>
  <si>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</si>
  <si>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</si>
  <si>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</si>
  <si>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</si>
  <si>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</si>
  <si>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</si>
  <si>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</si>
  <si>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</si>
  <si>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</si>
  <si>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</si>
  <si>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</si>
  <si>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</si>
  <si>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</si>
  <si>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</si>
  <si>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</si>
  <si>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</si>
  <si>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</si>
  <si>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</si>
  <si>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</si>
  <si>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</si>
  <si>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</si>
  <si>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</si>
  <si>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</si>
  <si>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</si>
  <si>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</si>
  <si>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</si>
  <si>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</si>
  <si>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</si>
  <si>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</si>
  <si>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</si>
  <si>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</si>
  <si>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</si>
  <si>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</si>
  <si>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</si>
  <si>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</si>
  <si>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</si>
  <si>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</si>
  <si>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</si>
  <si>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</si>
  <si>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</si>
  <si>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</si>
  <si>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</si>
  <si>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</si>
  <si>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</si>
  <si>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</si>
  <si>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</si>
  <si>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</si>
  <si>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</si>
  <si>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</si>
  <si>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</si>
  <si>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</si>
  <si>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</si>
  <si>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</si>
  <si>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</si>
  <si>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</si>
  <si>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</si>
  <si>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</si>
  <si>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</si>
  <si>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</si>
  <si>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</si>
  <si>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</si>
  <si>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</si>
  <si>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</si>
  <si>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</si>
  <si>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</si>
  <si>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</si>
  <si>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</si>
  <si>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</si>
  <si>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</si>
  <si>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</si>
  <si>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</si>
  <si>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</si>
  <si>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</si>
  <si>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</si>
  <si>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</si>
  <si>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</si>
  <si>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</si>
  <si>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</si>
  <si>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</si>
  <si>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</si>
  <si>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Dividend</t>
  </si>
  <si>
    <t>招商银行</t>
    <phoneticPr fontId="20" type="noConversion"/>
  </si>
  <si>
    <t>3968.HK</t>
    <phoneticPr fontId="20" type="noConversion"/>
  </si>
  <si>
    <t>C0014</t>
    <phoneticPr fontId="20" type="noConversion"/>
  </si>
  <si>
    <t>D/P Dividend Yield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</si>
</sst>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DengXian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29" sqref="C29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3968.HK : 招商银行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5" t="str">
        <f>Inputs!C4</f>
        <v>3968.HK</v>
      </c>
      <c r="D3" s="246"/>
      <c r="E3" s="87"/>
      <c r="F3" s="3" t="s">
        <v>1</v>
      </c>
      <c r="G3" s="133">
        <v>36.400001525878906</v>
      </c>
      <c r="H3" s="135" t="s">
        <v>2</v>
      </c>
    </row>
    <row r="4" spans="1:10" ht="15.75" customHeight="1" x14ac:dyDescent="0.4">
      <c r="B4" s="35" t="s">
        <v>212</v>
      </c>
      <c r="C4" s="247" t="str">
        <f>Inputs!C5</f>
        <v>招商银行</v>
      </c>
      <c r="D4" s="248"/>
      <c r="E4" s="87"/>
      <c r="F4" s="3" t="s">
        <v>3</v>
      </c>
      <c r="G4" s="251">
        <f>Inputs!C10</f>
        <v>25219845601</v>
      </c>
      <c r="H4" s="251"/>
      <c r="I4" s="39"/>
    </row>
    <row r="5" spans="1:10" ht="15.75" customHeight="1" x14ac:dyDescent="0.4">
      <c r="B5" s="3" t="s">
        <v>175</v>
      </c>
      <c r="C5" s="249">
        <f>Inputs!C6</f>
        <v>45606</v>
      </c>
      <c r="D5" s="250"/>
      <c r="E5" s="34"/>
      <c r="F5" s="35" t="s">
        <v>102</v>
      </c>
      <c r="G5" s="243">
        <f>G3*G4/1000000</f>
        <v>918002.4183588305</v>
      </c>
      <c r="H5" s="243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4" t="str">
        <f>Inputs!C11</f>
        <v>CNY</v>
      </c>
      <c r="H6" s="244"/>
      <c r="I6" s="38"/>
    </row>
    <row r="7" spans="1:10" ht="15.75" customHeight="1" x14ac:dyDescent="0.4">
      <c r="B7" s="86" t="s">
        <v>209</v>
      </c>
      <c r="C7" s="194" t="str">
        <f>Inputs!C8</f>
        <v>Y</v>
      </c>
      <c r="D7" s="194" t="str">
        <f>Inputs!C9</f>
        <v>C0014</v>
      </c>
      <c r="E7" s="87"/>
      <c r="F7" s="35" t="s">
        <v>6</v>
      </c>
      <c r="G7" s="134">
        <v>1.0758796532948811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6.6000000000000003E-2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7.1999999999999995E-2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232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1.8627626781429586E-2</v>
      </c>
      <c r="F20" s="87" t="s">
        <v>231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0.25828274030620524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0.34356507928375646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0</v>
      </c>
      <c r="F23" s="141" t="s">
        <v>204</v>
      </c>
      <c r="G23" s="183" t="e">
        <f>G3/(Data!C36*Data!C4/Common_Shares*Exchange_Rate)</f>
        <v>#DIV/0!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0.15503701396564434</v>
      </c>
    </row>
    <row r="25" spans="1:8" ht="15.75" customHeight="1" x14ac:dyDescent="0.4">
      <c r="B25" s="138" t="s">
        <v>208</v>
      </c>
      <c r="C25" s="177">
        <f>Fin_Analysis!I82</f>
        <v>2.9971565437917872E-3</v>
      </c>
      <c r="F25" s="141" t="s">
        <v>188</v>
      </c>
      <c r="G25" s="177">
        <f>Fin_Analysis!I88</f>
        <v>0.37595321915064656</v>
      </c>
    </row>
    <row r="26" spans="1:8" ht="15.75" customHeight="1" x14ac:dyDescent="0.4">
      <c r="B26" s="139" t="s">
        <v>187</v>
      </c>
      <c r="C26" s="177">
        <f>Fin_Analysis!I83</f>
        <v>0.37652739708481697</v>
      </c>
      <c r="F26" s="142" t="s">
        <v>210</v>
      </c>
      <c r="G26" s="184">
        <f>Fin_Analysis!H88*Exchange_Rate/G3</f>
        <v>5.8286664487887732E-2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1" t="str">
        <f>Fin_Analysis!H96</f>
        <v>Base Case</v>
      </c>
      <c r="H28" s="241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19.447578121988993</v>
      </c>
      <c r="D29" s="130">
        <f>IF(Fin_Analysis!C108="Profit",Fin_Analysis!I100,IF(Fin_Analysis!C108="Dividend",Fin_Analysis!I103,Fin_Analysis!I106))</f>
        <v>34.537493225786996</v>
      </c>
      <c r="E29" s="87"/>
      <c r="F29" s="132">
        <f>IF(Fin_Analysis!C108="Profit",Fin_Analysis!F100,IF(Fin_Analysis!C108="Dividend",Fin_Analysis!F103,Fin_Analysis!F106))</f>
        <v>27.629994580629596</v>
      </c>
      <c r="G29" s="242">
        <f>IF(Fin_Analysis!C108="Profit",Fin_Analysis!H100,IF(Fin_Analysis!C108="Dividend",Fin_Analysis!H103,Fin_Analysis!H106))</f>
        <v>27.629994580629596</v>
      </c>
      <c r="H29" s="242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F11" sqref="F11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235</v>
      </c>
    </row>
    <row r="4" spans="1:6" ht="13.9" x14ac:dyDescent="0.4">
      <c r="B4" s="142" t="s">
        <v>211</v>
      </c>
      <c r="C4" s="195" t="s">
        <v>247</v>
      </c>
      <c r="F4" s="201" t="s">
        <v>227</v>
      </c>
    </row>
    <row r="5" spans="1:6" ht="13.9" x14ac:dyDescent="0.4">
      <c r="B5" s="142" t="s">
        <v>212</v>
      </c>
      <c r="C5" s="240" t="s">
        <v>246</v>
      </c>
      <c r="E5" s="231">
        <f>C18</f>
        <v>45291</v>
      </c>
      <c r="F5" s="232">
        <v>1.972</v>
      </c>
    </row>
    <row r="6" spans="1:6" ht="13.9" x14ac:dyDescent="0.4">
      <c r="B6" s="142" t="s">
        <v>175</v>
      </c>
      <c r="C6" s="196">
        <v>45606</v>
      </c>
      <c r="E6" s="233" t="s">
        <v>225</v>
      </c>
      <c r="F6" s="232">
        <f>F5</f>
        <v>1.972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236</v>
      </c>
      <c r="C8" s="198" t="s">
        <v>46</v>
      </c>
    </row>
    <row r="9" spans="1:6" ht="13.9" x14ac:dyDescent="0.4">
      <c r="B9" s="141" t="s">
        <v>237</v>
      </c>
      <c r="C9" s="199" t="s">
        <v>248</v>
      </c>
    </row>
    <row r="10" spans="1:6" ht="13.9" x14ac:dyDescent="0.4">
      <c r="B10" s="141" t="s">
        <v>238</v>
      </c>
      <c r="C10" s="200">
        <v>25219845601</v>
      </c>
    </row>
    <row r="11" spans="1:6" ht="13.9" x14ac:dyDescent="0.4">
      <c r="B11" s="141" t="s">
        <v>239</v>
      </c>
      <c r="C11" s="199" t="s">
        <v>243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1000000</v>
      </c>
    </row>
    <row r="14" spans="1:6" ht="13.9" x14ac:dyDescent="0.4">
      <c r="B14" s="227" t="s">
        <v>241</v>
      </c>
      <c r="C14" s="228">
        <v>45473</v>
      </c>
    </row>
    <row r="15" spans="1:6" ht="13.9" x14ac:dyDescent="0.4">
      <c r="B15" s="227" t="s">
        <v>240</v>
      </c>
      <c r="C15" s="182" t="s">
        <v>244</v>
      </c>
    </row>
    <row r="16" spans="1:6" ht="13.9" x14ac:dyDescent="0.4">
      <c r="B16" s="234" t="s">
        <v>98</v>
      </c>
      <c r="C16" s="235">
        <v>0.25</v>
      </c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468444</v>
      </c>
      <c r="D19" s="152">
        <v>456752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v>8726</v>
      </c>
      <c r="D20" s="153">
        <v>9097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v>120991</v>
      </c>
      <c r="D21" s="153">
        <v>122061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>
        <v>160941</v>
      </c>
      <c r="D26" s="153">
        <v>135145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>
        <v>1404</v>
      </c>
      <c r="D27" s="153">
        <v>1282</v>
      </c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9" x14ac:dyDescent="0.4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3.9" x14ac:dyDescent="0.4">
      <c r="B40" s="3" t="s">
        <v>38</v>
      </c>
      <c r="C40" s="59"/>
      <c r="D40" s="60">
        <v>0.9</v>
      </c>
      <c r="E40" s="113"/>
    </row>
    <row r="41" spans="2:13" ht="13.9" x14ac:dyDescent="0.4">
      <c r="B41" s="1" t="s">
        <v>146</v>
      </c>
      <c r="C41" s="59"/>
      <c r="D41" s="60">
        <v>0.8</v>
      </c>
      <c r="E41" s="113"/>
    </row>
    <row r="42" spans="2:13" ht="13.9" x14ac:dyDescent="0.4">
      <c r="B42" s="3" t="s">
        <v>121</v>
      </c>
      <c r="C42" s="59"/>
      <c r="D42" s="60">
        <f>D43</f>
        <v>0.6</v>
      </c>
      <c r="E42" s="113"/>
    </row>
    <row r="43" spans="2:13" ht="13.9" x14ac:dyDescent="0.4">
      <c r="B43" s="3" t="s">
        <v>42</v>
      </c>
      <c r="C43" s="59"/>
      <c r="D43" s="60">
        <v>0.6</v>
      </c>
      <c r="E43" s="113"/>
    </row>
    <row r="44" spans="2:13" ht="13.9" x14ac:dyDescent="0.4">
      <c r="B44" s="3" t="s">
        <v>44</v>
      </c>
      <c r="C44" s="59"/>
      <c r="D44" s="60">
        <v>0.5</v>
      </c>
      <c r="E44" s="113"/>
    </row>
    <row r="45" spans="2:13" ht="13.9" x14ac:dyDescent="0.4">
      <c r="B45" s="1" t="s">
        <v>170</v>
      </c>
      <c r="C45" s="59"/>
      <c r="D45" s="60">
        <f>D42</f>
        <v>0.6</v>
      </c>
      <c r="E45" s="113"/>
    </row>
    <row r="46" spans="2:13" ht="13.9" x14ac:dyDescent="0.4">
      <c r="B46" s="3" t="s">
        <v>122</v>
      </c>
      <c r="C46" s="59"/>
      <c r="D46" s="60">
        <v>0.1</v>
      </c>
      <c r="E46" s="113"/>
    </row>
    <row r="47" spans="2:13" ht="13.9" x14ac:dyDescent="0.4">
      <c r="B47" s="3" t="s">
        <v>47</v>
      </c>
      <c r="C47" s="59"/>
      <c r="D47" s="60">
        <f>D44</f>
        <v>0.5</v>
      </c>
      <c r="E47" s="113"/>
    </row>
    <row r="48" spans="2:13" ht="13.9" x14ac:dyDescent="0.4">
      <c r="B48" s="1" t="s">
        <v>48</v>
      </c>
      <c r="C48" s="59"/>
      <c r="D48" s="60">
        <f>D42</f>
        <v>0.6</v>
      </c>
      <c r="E48" s="230" t="s">
        <v>71</v>
      </c>
    </row>
    <row r="49" spans="2:5" ht="13.9" x14ac:dyDescent="0.4">
      <c r="B49" s="3" t="s">
        <v>124</v>
      </c>
      <c r="C49" s="59"/>
      <c r="D49" s="60">
        <v>0.6</v>
      </c>
      <c r="E49" s="230" t="s">
        <v>46</v>
      </c>
    </row>
    <row r="50" spans="2:5" ht="13.9" x14ac:dyDescent="0.4">
      <c r="B50" s="3" t="s">
        <v>50</v>
      </c>
      <c r="C50" s="59"/>
      <c r="D50" s="60">
        <f>D40</f>
        <v>0.9</v>
      </c>
      <c r="E50" s="113"/>
    </row>
    <row r="51" spans="2:5" ht="13.9" x14ac:dyDescent="0.4">
      <c r="B51" s="35" t="s">
        <v>51</v>
      </c>
      <c r="C51" s="121"/>
      <c r="D51" s="202">
        <f>D62</f>
        <v>0.05</v>
      </c>
      <c r="E51" s="113"/>
    </row>
    <row r="52" spans="2:5" ht="13.9" x14ac:dyDescent="0.4">
      <c r="B52" s="3" t="s">
        <v>61</v>
      </c>
      <c r="C52" s="59"/>
      <c r="D52" s="60">
        <f>D41</f>
        <v>0.8</v>
      </c>
      <c r="E52" s="113"/>
    </row>
    <row r="53" spans="2:5" ht="13.9" x14ac:dyDescent="0.4">
      <c r="B53" s="3" t="s">
        <v>63</v>
      </c>
      <c r="C53" s="59"/>
      <c r="D53" s="60">
        <f>D43</f>
        <v>0.6</v>
      </c>
      <c r="E53" s="113"/>
    </row>
    <row r="54" spans="2:5" ht="13.9" x14ac:dyDescent="0.4">
      <c r="B54" s="3" t="s">
        <v>65</v>
      </c>
      <c r="C54" s="59"/>
      <c r="D54" s="60">
        <f>D44</f>
        <v>0.5</v>
      </c>
      <c r="E54" s="113"/>
    </row>
    <row r="55" spans="2:5" ht="13.9" x14ac:dyDescent="0.4">
      <c r="B55" s="1" t="s">
        <v>171</v>
      </c>
      <c r="C55" s="59"/>
      <c r="D55" s="60">
        <f>D54</f>
        <v>0.5</v>
      </c>
      <c r="E55" s="113"/>
    </row>
    <row r="56" spans="2:5" ht="13.9" x14ac:dyDescent="0.4">
      <c r="B56" s="3" t="s">
        <v>68</v>
      </c>
      <c r="C56" s="59"/>
      <c r="D56" s="60">
        <v>0.4</v>
      </c>
      <c r="E56" s="113"/>
    </row>
    <row r="57" spans="2:5" ht="13.9" x14ac:dyDescent="0.4">
      <c r="B57" s="3" t="s">
        <v>70</v>
      </c>
      <c r="C57" s="59"/>
      <c r="D57" s="60">
        <v>0.1</v>
      </c>
      <c r="E57" s="230" t="s">
        <v>71</v>
      </c>
    </row>
    <row r="58" spans="2:5" ht="13.9" x14ac:dyDescent="0.4">
      <c r="B58" s="3" t="s">
        <v>72</v>
      </c>
      <c r="C58" s="59"/>
      <c r="D58" s="60">
        <v>0.2</v>
      </c>
      <c r="E58" s="230" t="s">
        <v>71</v>
      </c>
    </row>
    <row r="59" spans="2:5" ht="13.9" x14ac:dyDescent="0.4">
      <c r="B59" s="1" t="s">
        <v>49</v>
      </c>
      <c r="C59" s="59"/>
      <c r="D59" s="60">
        <f>D57</f>
        <v>0.1</v>
      </c>
      <c r="E59" s="230" t="s">
        <v>46</v>
      </c>
    </row>
    <row r="60" spans="2:5" ht="13.9" x14ac:dyDescent="0.4">
      <c r="B60" s="3" t="s">
        <v>123</v>
      </c>
      <c r="C60" s="59"/>
      <c r="D60" s="60">
        <f>D57</f>
        <v>0.1</v>
      </c>
      <c r="E60" s="113"/>
    </row>
    <row r="61" spans="2:5" ht="13.9" x14ac:dyDescent="0.4">
      <c r="B61" s="3" t="s">
        <v>73</v>
      </c>
      <c r="C61" s="59"/>
      <c r="D61" s="60">
        <f>D62</f>
        <v>0.05</v>
      </c>
      <c r="E61" s="113"/>
    </row>
    <row r="62" spans="2:5" ht="13.9" x14ac:dyDescent="0.4">
      <c r="B62" s="3" t="s">
        <v>74</v>
      </c>
      <c r="C62" s="59"/>
      <c r="D62" s="60">
        <v>0.05</v>
      </c>
      <c r="E62" s="113"/>
    </row>
    <row r="63" spans="2:5" ht="13.9" x14ac:dyDescent="0.4">
      <c r="B63" s="3" t="s">
        <v>75</v>
      </c>
      <c r="C63" s="59"/>
      <c r="D63" s="60">
        <f>D50</f>
        <v>0.9</v>
      </c>
      <c r="E63" s="113"/>
    </row>
    <row r="64" spans="2:5" ht="13.9" x14ac:dyDescent="0.4">
      <c r="B64" s="3" t="s">
        <v>76</v>
      </c>
      <c r="C64" s="59"/>
      <c r="D64" s="60">
        <v>0</v>
      </c>
      <c r="E64" s="113"/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/>
    </row>
    <row r="67" spans="2:3" ht="13.9" x14ac:dyDescent="0.4">
      <c r="B67" s="3" t="s">
        <v>40</v>
      </c>
      <c r="C67" s="59"/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/>
    </row>
    <row r="70" spans="2:3" ht="14.25" thickBot="1" x14ac:dyDescent="0.45">
      <c r="B70" s="80" t="s">
        <v>16</v>
      </c>
      <c r="C70" s="83"/>
    </row>
    <row r="71" spans="2:3" ht="14.25" thickTop="1" x14ac:dyDescent="0.4">
      <c r="B71" s="3" t="s">
        <v>62</v>
      </c>
      <c r="C71" s="59"/>
    </row>
    <row r="72" spans="2:3" ht="13.9" x14ac:dyDescent="0.4">
      <c r="B72" s="3" t="s">
        <v>64</v>
      </c>
      <c r="C72" s="59"/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/>
    </row>
    <row r="75" spans="2:3" ht="14.25" thickBot="1" x14ac:dyDescent="0.45">
      <c r="B75" s="80" t="s">
        <v>85</v>
      </c>
      <c r="C75" s="83"/>
    </row>
    <row r="76" spans="2:3" ht="14.25" thickTop="1" x14ac:dyDescent="0.4">
      <c r="B76" s="73" t="s">
        <v>242</v>
      </c>
      <c r="C76" s="59"/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14" sqref="C14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175914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468444</v>
      </c>
      <c r="D6" s="209">
        <f>IF(Inputs!D19="","",Inputs!D19)</f>
        <v>456752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2.5598136406627559E-2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8726</v>
      </c>
      <c r="D8" s="208">
        <f>IF(Inputs!D20="","",Inputs!D20)</f>
        <v>9097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459718</v>
      </c>
      <c r="D9" s="154">
        <f t="shared" si="2"/>
        <v>447655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120991</v>
      </c>
      <c r="D10" s="208">
        <f>IF(Inputs!D21="","",Inputs!D21)</f>
        <v>122061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 t="str">
        <f>IF(OR(C6="",C12=""),"",C12/C6)</f>
        <v/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 t="str">
        <f>IF(Inputs!C22="","",Inputs!C22)</f>
        <v/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338727</v>
      </c>
      <c r="D13" s="154">
        <f t="shared" ref="D13:M13" si="4">IF(D6="","",(D9-D10+MAX(D12,0)))</f>
        <v>325594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 t="str">
        <f>IF(Inputs!C24="","",Inputs!C24)</f>
        <v/>
      </c>
      <c r="D15" s="208" t="str">
        <f>IF(Inputs!D24="","",Inputs!D24)</f>
        <v/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 t="str">
        <f>IF(Inputs!C25="","",Inputs!C25)</f>
        <v/>
      </c>
      <c r="D16" s="208" t="str">
        <f>IF(Inputs!D25="","",Inputs!D25)</f>
        <v/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>
        <f>IF(Inputs!C26="","",Inputs!C26)</f>
        <v>160941</v>
      </c>
      <c r="D17" s="208">
        <f>IF(Inputs!D26="","",Inputs!D26)</f>
        <v>135145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>
        <f>IF(Inputs!C27="","",Inputs!C27)</f>
        <v>1404</v>
      </c>
      <c r="D18" s="208">
        <f>IF(Inputs!D27="","",Inputs!D27)</f>
        <v>1282</v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175914</v>
      </c>
      <c r="D19" s="237">
        <f>IF(D6="","",D9-D10-MAX(D17,0)-MAX(D18,0)/(1-Fin_Analysis!$I$84))</f>
        <v>188739.66666666666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>
        <f>IF(D19="","",IF(ABS(C19+D19)=ABS(C19)+ABS(D19),IF(C19&lt;0,-1,1)*(C19-D19)/D19,"Turn"))</f>
        <v>-6.7954272110261171E-2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175914</v>
      </c>
      <c r="D21" s="77">
        <f>IF(D6="","",D13-MAX(D14,0)-MAX(D15,0)-MAX(D16,0)-MAX(D17,0)-MAX(D18,0)/(1-Fin_Analysis!$I$84))</f>
        <v>188739.66666666666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-6.7954272110261171E-2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0.2816462586776648</v>
      </c>
      <c r="D23" s="157">
        <f t="shared" si="7"/>
        <v>0.30991599379969875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131935.5</v>
      </c>
      <c r="D24" s="77">
        <f>IF(D6="","",D21*(1-Fin_Analysis!$I$84))</f>
        <v>141554.75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-6.7954272110261227E-2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0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0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0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0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0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0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0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0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 t="e">
        <f t="shared" ref="C40" si="31">IF(C6="","",C21/C39)</f>
        <v>#DIV/0!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1.8627626781429586E-2</v>
      </c>
      <c r="D42" s="161">
        <f t="shared" si="33"/>
        <v>1.9916716292430029E-2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0.25828274030620524</v>
      </c>
      <c r="D43" s="157">
        <f t="shared" ref="D43:M43" si="34">IF(D6="","",(D10-MAX(D12,0))/D6)</f>
        <v>0.26723692507093566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0</v>
      </c>
      <c r="D44" s="157">
        <f t="shared" ref="D44:M44" si="35">IF(D6="","",(MAX(D14,0)+MAX(D15,0))/D6)</f>
        <v>0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0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0.34356507928375646</v>
      </c>
      <c r="D46" s="157">
        <f t="shared" ref="D46:M46" si="37">IF(D6="","",MAX(D17,0)/D6)</f>
        <v>0.29588266718043926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3.9962087250557162E-3</v>
      </c>
      <c r="D47" s="157">
        <f>IF(D6="","",MAX(D18,0)/(1-Fin_Analysis!$I$84)/D6)</f>
        <v>3.7423663899300566E-3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0.37552834490355302</v>
      </c>
      <c r="D48" s="157">
        <f t="shared" si="38"/>
        <v>0.41322132506626497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0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0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 t="e">
        <f>IF(C36="","",(C27-C36)/C27)</f>
        <v>#DIV/0!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 t="str">
        <f>IF(OR(C21="",C35=""),"",IF(C35&lt;=0,"-",C21/C35))</f>
        <v>-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>
        <f>IF(C21="","",IF(MAX(C17,0)&lt;=0,"-",C17/C21))</f>
        <v>0.91488454585763501</v>
      </c>
      <c r="D55" s="157">
        <f t="shared" ref="D55:M55" si="43">IF(D21="","",IF(MAX(D17,0)&lt;=0,"-",D17/D21))</f>
        <v>0.71603920038006497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 t="e">
        <f t="shared" ref="C56:M56" si="44">IF(C28="","",C28/C31)</f>
        <v>#DIV/0!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H92" sqref="H92:I9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0</v>
      </c>
      <c r="D11" s="207">
        <f>Inputs!D40</f>
        <v>0.9</v>
      </c>
      <c r="E11" s="88">
        <f t="shared" ref="E11:E22" si="0">C11*D11</f>
        <v>0</v>
      </c>
      <c r="F11" s="113"/>
      <c r="G11" s="87"/>
      <c r="H11" s="3" t="s">
        <v>39</v>
      </c>
      <c r="I11" s="40">
        <f>Inputs!C66</f>
        <v>0</v>
      </c>
      <c r="J11" s="87"/>
      <c r="K11" s="24"/>
    </row>
    <row r="12" spans="1:11" ht="13.9" x14ac:dyDescent="0.4">
      <c r="B12" s="1" t="s">
        <v>146</v>
      </c>
      <c r="C12" s="40">
        <f>Inputs!C41</f>
        <v>0</v>
      </c>
      <c r="D12" s="207">
        <f>Inputs!D41</f>
        <v>0.8</v>
      </c>
      <c r="E12" s="88">
        <f t="shared" si="0"/>
        <v>0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3.9" x14ac:dyDescent="0.4">
      <c r="B13" s="3" t="s">
        <v>121</v>
      </c>
      <c r="C13" s="40">
        <f>Inputs!C42</f>
        <v>0</v>
      </c>
      <c r="D13" s="207">
        <f>Inputs!D42</f>
        <v>0.6</v>
      </c>
      <c r="E13" s="88">
        <f t="shared" si="0"/>
        <v>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0</v>
      </c>
      <c r="D14" s="207">
        <f>Inputs!D43</f>
        <v>0.6</v>
      </c>
      <c r="E14" s="88">
        <f t="shared" si="0"/>
        <v>0</v>
      </c>
      <c r="F14" s="113"/>
      <c r="G14" s="87"/>
      <c r="H14" s="86" t="s">
        <v>43</v>
      </c>
      <c r="I14" s="214">
        <f>Inputs!C69</f>
        <v>0</v>
      </c>
      <c r="J14" s="87"/>
      <c r="K14" s="27"/>
    </row>
    <row r="15" spans="1:11" ht="13.9" x14ac:dyDescent="0.4">
      <c r="B15" s="3" t="s">
        <v>44</v>
      </c>
      <c r="C15" s="40">
        <f>Inputs!C44</f>
        <v>0</v>
      </c>
      <c r="D15" s="207">
        <f>Inputs!D44</f>
        <v>0.5</v>
      </c>
      <c r="E15" s="88">
        <f t="shared" si="0"/>
        <v>0</v>
      </c>
      <c r="F15" s="113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170</v>
      </c>
      <c r="C16" s="40">
        <f>Inputs!C45</f>
        <v>0</v>
      </c>
      <c r="D16" s="207">
        <f>Inputs!D45</f>
        <v>0.6</v>
      </c>
      <c r="E16" s="88">
        <f t="shared" si="0"/>
        <v>0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0</v>
      </c>
      <c r="D18" s="207">
        <f>Inputs!D47</f>
        <v>0.5</v>
      </c>
      <c r="E18" s="88">
        <f t="shared" si="0"/>
        <v>0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4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4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4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4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3"/>
      <c r="G28" s="87"/>
      <c r="H28" s="78" t="s">
        <v>16</v>
      </c>
      <c r="I28" s="215">
        <f>Inputs!C70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Inputs!C57</f>
        <v>0</v>
      </c>
      <c r="D35" s="207">
        <f>Inputs!D57</f>
        <v>0.1</v>
      </c>
      <c r="E35" s="88">
        <f t="shared" si="1"/>
        <v>0</v>
      </c>
      <c r="F35" s="135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0</v>
      </c>
      <c r="D37" s="207">
        <f>Inputs!D59</f>
        <v>0.1</v>
      </c>
      <c r="E37" s="88">
        <f t="shared" si="1"/>
        <v>0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0</v>
      </c>
      <c r="D38" s="207">
        <f>Inputs!D60</f>
        <v>0.1</v>
      </c>
      <c r="E38" s="88">
        <f t="shared" si="1"/>
        <v>0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0</v>
      </c>
      <c r="D40" s="207">
        <f>Inputs!D62</f>
        <v>0.05</v>
      </c>
      <c r="E40" s="88">
        <f t="shared" si="1"/>
        <v>0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0</v>
      </c>
      <c r="D41" s="207">
        <f>Inputs!D63</f>
        <v>0.9</v>
      </c>
      <c r="E41" s="88">
        <f t="shared" si="1"/>
        <v>0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0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16">
        <f>Inputs!C75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2">
        <f>I15+I34</f>
        <v>0</v>
      </c>
      <c r="E56" s="25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1">
        <f>Inputs!C77</f>
        <v>0</v>
      </c>
      <c r="E57" s="25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1">
        <f>Inputs!C78</f>
        <v>0</v>
      </c>
      <c r="E58" s="25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0</v>
      </c>
      <c r="D62" s="108">
        <f t="shared" si="2"/>
        <v>0</v>
      </c>
      <c r="E62" s="119">
        <f>E11+E30</f>
        <v>0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5">
        <f>Data!C5</f>
        <v>45291</v>
      </c>
      <c r="D72" s="255"/>
      <c r="E72" s="253" t="s">
        <v>226</v>
      </c>
      <c r="F72" s="253"/>
      <c r="H72" s="253" t="s">
        <v>225</v>
      </c>
      <c r="I72" s="253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54" t="s">
        <v>103</v>
      </c>
      <c r="D73" s="254"/>
      <c r="E73" s="256" t="s">
        <v>104</v>
      </c>
      <c r="F73" s="254"/>
      <c r="H73" s="256" t="s">
        <v>104</v>
      </c>
      <c r="I73" s="254"/>
      <c r="K73" s="24"/>
    </row>
    <row r="74" spans="1:11" ht="15" customHeight="1" x14ac:dyDescent="0.4">
      <c r="B74" s="3" t="s">
        <v>136</v>
      </c>
      <c r="C74" s="77">
        <f>Data!C6</f>
        <v>468444</v>
      </c>
      <c r="D74" s="218"/>
      <c r="E74" s="205">
        <f>H74</f>
        <v>468444</v>
      </c>
      <c r="F74" s="218"/>
      <c r="H74" s="205">
        <f>C74</f>
        <v>468444</v>
      </c>
      <c r="I74" s="218"/>
      <c r="K74" s="24"/>
    </row>
    <row r="75" spans="1:11" ht="15" customHeight="1" x14ac:dyDescent="0.4">
      <c r="B75" s="105" t="s">
        <v>109</v>
      </c>
      <c r="C75" s="77">
        <f>Data!C8</f>
        <v>8726</v>
      </c>
      <c r="D75" s="164">
        <f>C75/$C$74</f>
        <v>1.8627626781429586E-2</v>
      </c>
      <c r="E75" s="186">
        <f>E74*F75</f>
        <v>8726</v>
      </c>
      <c r="F75" s="165">
        <f>I75</f>
        <v>1.8627626781429586E-2</v>
      </c>
      <c r="H75" s="205">
        <f>D75*H74</f>
        <v>8726</v>
      </c>
      <c r="I75" s="165">
        <f>H75/$H$74</f>
        <v>1.8627626781429586E-2</v>
      </c>
      <c r="K75" s="24"/>
    </row>
    <row r="76" spans="1:11" ht="15" customHeight="1" x14ac:dyDescent="0.4">
      <c r="B76" s="35" t="s">
        <v>96</v>
      </c>
      <c r="C76" s="166">
        <f>C74-C75</f>
        <v>459718</v>
      </c>
      <c r="D76" s="219"/>
      <c r="E76" s="167">
        <f>E74-E75</f>
        <v>459718</v>
      </c>
      <c r="F76" s="219"/>
      <c r="H76" s="167">
        <f>H74-H75</f>
        <v>459718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120991</v>
      </c>
      <c r="D77" s="164">
        <f>C77/$C$74</f>
        <v>0.25828274030620524</v>
      </c>
      <c r="E77" s="186">
        <f>E74*F77</f>
        <v>120991</v>
      </c>
      <c r="F77" s="165">
        <f>I77</f>
        <v>0.25828274030620524</v>
      </c>
      <c r="H77" s="205">
        <f>D77*H74</f>
        <v>120991</v>
      </c>
      <c r="I77" s="165">
        <f>H77/$H$74</f>
        <v>0.25828274030620524</v>
      </c>
      <c r="K77" s="24"/>
    </row>
    <row r="78" spans="1:11" ht="15" customHeight="1" x14ac:dyDescent="0.4">
      <c r="B78" s="35" t="s">
        <v>97</v>
      </c>
      <c r="C78" s="166">
        <f>C76-C77</f>
        <v>338727</v>
      </c>
      <c r="D78" s="219"/>
      <c r="E78" s="167">
        <f>E76-E77</f>
        <v>338727</v>
      </c>
      <c r="F78" s="219"/>
      <c r="H78" s="167">
        <f>H76-H77</f>
        <v>338727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160941</v>
      </c>
      <c r="D79" s="164">
        <f>C79/$C$74</f>
        <v>0.34356507928375646</v>
      </c>
      <c r="E79" s="186">
        <f>E74*F79</f>
        <v>160941</v>
      </c>
      <c r="F79" s="165">
        <f t="shared" ref="F79:F84" si="3">I79</f>
        <v>0.34356507928375646</v>
      </c>
      <c r="H79" s="205">
        <f>C79</f>
        <v>160941</v>
      </c>
      <c r="I79" s="165">
        <f>H79/$H$74</f>
        <v>0.34356507928375646</v>
      </c>
      <c r="K79" s="24"/>
    </row>
    <row r="80" spans="1:11" ht="15" customHeight="1" x14ac:dyDescent="0.4">
      <c r="B80" s="28" t="s">
        <v>135</v>
      </c>
      <c r="C80" s="77">
        <f>MAX(Data!C14,0)+MAX(Data!C15,0)</f>
        <v>0</v>
      </c>
      <c r="D80" s="164">
        <f>C80/$C$74</f>
        <v>0</v>
      </c>
      <c r="E80" s="186">
        <f>E74*F80</f>
        <v>0</v>
      </c>
      <c r="F80" s="165">
        <f t="shared" si="3"/>
        <v>0</v>
      </c>
      <c r="H80" s="205">
        <f>H74*D80</f>
        <v>0</v>
      </c>
      <c r="I80" s="165">
        <f>H80/$H$74</f>
        <v>0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1404</v>
      </c>
      <c r="D82" s="164">
        <f>C82/$C$74</f>
        <v>2.9971565437917872E-3</v>
      </c>
      <c r="E82" s="186">
        <f>E74*F82</f>
        <v>1404</v>
      </c>
      <c r="F82" s="165">
        <f t="shared" si="3"/>
        <v>2.9971565437917872E-3</v>
      </c>
      <c r="H82" s="205">
        <f>H74*D82</f>
        <v>1404</v>
      </c>
      <c r="I82" s="165">
        <f>H82/$H$74</f>
        <v>2.9971565437917872E-3</v>
      </c>
      <c r="K82" s="24"/>
    </row>
    <row r="83" spans="1:11" ht="15" customHeight="1" thickBot="1" x14ac:dyDescent="0.45">
      <c r="B83" s="106" t="s">
        <v>134</v>
      </c>
      <c r="C83" s="168">
        <f>C78-C79-C80-C81-C82</f>
        <v>176382</v>
      </c>
      <c r="D83" s="169">
        <f>C83/$C$74</f>
        <v>0.37652739708481697</v>
      </c>
      <c r="E83" s="170">
        <f>E78-E79-E80-E81-E82</f>
        <v>176382</v>
      </c>
      <c r="F83" s="169">
        <f>E83/E74</f>
        <v>0.37652739708481697</v>
      </c>
      <c r="H83" s="170">
        <f>H78-H79-H80-H81-H82</f>
        <v>176382</v>
      </c>
      <c r="I83" s="169">
        <f>H83/$H$74</f>
        <v>0.37652739708481697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4">
      <c r="B85" s="86" t="s">
        <v>176</v>
      </c>
      <c r="C85" s="166">
        <f>C83*(1-I84)</f>
        <v>132286.5</v>
      </c>
      <c r="D85" s="171">
        <f>C85/$C$74</f>
        <v>0.2823955478136127</v>
      </c>
      <c r="E85" s="172">
        <f>E83*(1-F84)</f>
        <v>132286.5</v>
      </c>
      <c r="F85" s="171">
        <f>E85/E74</f>
        <v>0.2823955478136127</v>
      </c>
      <c r="H85" s="172">
        <f>H83*(1-I84)</f>
        <v>132286.5</v>
      </c>
      <c r="I85" s="171">
        <f>H85/$H$74</f>
        <v>0.2823955478136127</v>
      </c>
      <c r="K85" s="24"/>
    </row>
    <row r="86" spans="1:11" ht="15" customHeight="1" x14ac:dyDescent="0.4">
      <c r="B86" s="87" t="s">
        <v>172</v>
      </c>
      <c r="C86" s="173">
        <f>C85*Data!C4/Common_Shares</f>
        <v>5.245333460517088</v>
      </c>
      <c r="D86" s="218"/>
      <c r="E86" s="174">
        <f>E85*Data!C4/Common_Shares</f>
        <v>5.245333460517088</v>
      </c>
      <c r="F86" s="218"/>
      <c r="H86" s="174">
        <f>H85*Data!C4/Common_Shares</f>
        <v>5.245333460517088</v>
      </c>
      <c r="I86" s="218"/>
      <c r="K86" s="24"/>
    </row>
    <row r="87" spans="1:11" ht="15" customHeight="1" x14ac:dyDescent="0.4">
      <c r="B87" s="87" t="s">
        <v>228</v>
      </c>
      <c r="C87" s="165">
        <f>C86*Exchange_Rate/Dashboard!G3</f>
        <v>0.15503701396564434</v>
      </c>
      <c r="D87" s="218"/>
      <c r="E87" s="239">
        <f>E86*Exchange_Rate/Dashboard!G3</f>
        <v>0.15503701396564434</v>
      </c>
      <c r="F87" s="218"/>
      <c r="H87" s="239">
        <f>H86*Exchange_Rate/Dashboard!G3</f>
        <v>0.15503701396564434</v>
      </c>
      <c r="I87" s="218"/>
      <c r="K87" s="24"/>
    </row>
    <row r="88" spans="1:11" ht="15" customHeight="1" x14ac:dyDescent="0.4">
      <c r="B88" s="86" t="s">
        <v>227</v>
      </c>
      <c r="C88" s="175">
        <f>Inputs!F5</f>
        <v>1.972</v>
      </c>
      <c r="D88" s="171">
        <f>C88/C86</f>
        <v>0.37595321915064656</v>
      </c>
      <c r="E88" s="204">
        <f>H88</f>
        <v>1.972</v>
      </c>
      <c r="F88" s="171">
        <f>E88/E86</f>
        <v>0.37595321915064656</v>
      </c>
      <c r="H88" s="176">
        <f>Inputs!F6</f>
        <v>1.972</v>
      </c>
      <c r="I88" s="171">
        <f>H88/H86</f>
        <v>0.37595321915064656</v>
      </c>
      <c r="K88" s="24"/>
    </row>
    <row r="89" spans="1:11" ht="15" customHeight="1" x14ac:dyDescent="0.4">
      <c r="B89" s="87" t="s">
        <v>249</v>
      </c>
      <c r="C89" s="165">
        <f>C88*Exchange_Rate/Dashboard!G3</f>
        <v>5.8286664487887732E-2</v>
      </c>
      <c r="D89" s="218"/>
      <c r="E89" s="165">
        <f>E88*Exchange_Rate/Dashboard!G3</f>
        <v>5.8286664487887732E-2</v>
      </c>
      <c r="F89" s="218"/>
      <c r="H89" s="165">
        <f>H88*Exchange_Rate/Dashboard!G3</f>
        <v>5.8286664487887732E-2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CN</v>
      </c>
      <c r="D92" s="10" t="s">
        <v>168</v>
      </c>
      <c r="E92" s="253" t="s">
        <v>226</v>
      </c>
      <c r="F92" s="253"/>
      <c r="G92" s="87"/>
      <c r="H92" s="253" t="s">
        <v>225</v>
      </c>
      <c r="I92" s="253"/>
      <c r="K92" s="24"/>
    </row>
    <row r="93" spans="1:11" ht="15" customHeight="1" x14ac:dyDescent="0.4">
      <c r="B93" s="1" t="str">
        <f>C92&amp;" Required Return"</f>
        <v>CN Required Return</v>
      </c>
      <c r="C93" s="137">
        <f>IF(C92="CN",Dashboard!C17,IF(C92="US",Dashboard!C12,IF(C92="HK",Dashboard!D12,Dashboard!D17)))</f>
        <v>7.1999999999999995E-2</v>
      </c>
      <c r="D93" s="206">
        <v>5</v>
      </c>
      <c r="E93" s="87" t="s">
        <v>229</v>
      </c>
      <c r="F93" s="146">
        <f>FV(E87,D93,0,-(E86/C93))</f>
        <v>149.76837403775866</v>
      </c>
      <c r="H93" s="87" t="s">
        <v>229</v>
      </c>
      <c r="I93" s="146">
        <f>FV(H87,D93,0,-(H86/C93))</f>
        <v>149.76837403775866</v>
      </c>
      <c r="K93" s="24"/>
    </row>
    <row r="94" spans="1:11" ht="15" customHeight="1" x14ac:dyDescent="0.4">
      <c r="B94" s="1" t="s">
        <v>231</v>
      </c>
      <c r="C94" s="188">
        <f>Dashboard!G20</f>
        <v>0.15</v>
      </c>
      <c r="D94" s="147"/>
      <c r="E94" s="87" t="s">
        <v>230</v>
      </c>
      <c r="F94" s="146">
        <f>FV(E89,D93,0,-(E88/C93))</f>
        <v>36.357250474379256</v>
      </c>
      <c r="H94" s="87" t="s">
        <v>230</v>
      </c>
      <c r="I94" s="146">
        <f>FV(H89,D93,0,-(H88/C93))</f>
        <v>36.357250474379256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234</v>
      </c>
      <c r="F96" s="189" t="str">
        <f>E72</f>
        <v>Pessimistic Case</v>
      </c>
      <c r="H96" s="189" t="str">
        <f>H72</f>
        <v>Base Case</v>
      </c>
      <c r="I96" s="125" t="s">
        <v>233</v>
      </c>
      <c r="K96" s="24"/>
    </row>
    <row r="97" spans="2:11" ht="15" customHeight="1" x14ac:dyDescent="0.4">
      <c r="B97" s="1" t="s">
        <v>140</v>
      </c>
      <c r="C97" s="91">
        <f>H97*Common_Shares/Data!C4</f>
        <v>2870465.3309888556</v>
      </c>
      <c r="E97" s="124">
        <f>PV(C94,D93,0,-F93)*Exchange_Rate</f>
        <v>80.11145277212573</v>
      </c>
      <c r="F97" s="124">
        <f>PV(C93,D93,0,-F93)*Exchange_Rate</f>
        <v>113.81772023517216</v>
      </c>
      <c r="H97" s="124">
        <f>PV(C93,D93,0,-I93)*Exchange_Rate</f>
        <v>113.81772023517216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0</v>
      </c>
      <c r="E98" s="222"/>
      <c r="F98" s="222"/>
      <c r="H98" s="124">
        <f>C98*Data!$C$4/Common_Shares</f>
        <v>0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0</v>
      </c>
      <c r="E99" s="223"/>
      <c r="F99" s="148">
        <f>H99*0.85</f>
        <v>0</v>
      </c>
      <c r="H99" s="148">
        <f>C99*Data!$C$4/Common_Shares</f>
        <v>0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2870465.3309888556</v>
      </c>
      <c r="E100" s="110">
        <f>MAX(E97-H98+F99,0)</f>
        <v>80.11145277212573</v>
      </c>
      <c r="F100" s="110">
        <f>MAX(F97-H98+F99,0)</f>
        <v>113.81772023517216</v>
      </c>
      <c r="H100" s="110">
        <f>MAX(C100*Data!$C$4/Common_Shares,0)</f>
        <v>113.81772023517216</v>
      </c>
      <c r="I100" s="110">
        <f>H100*1.25</f>
        <v>142.27215029396521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234</v>
      </c>
      <c r="F102" s="189" t="str">
        <f>F96</f>
        <v>Pessimistic Case</v>
      </c>
      <c r="H102" s="189" t="str">
        <f>H96</f>
        <v>Base Case</v>
      </c>
      <c r="I102" s="125" t="s">
        <v>233</v>
      </c>
      <c r="K102" s="24"/>
    </row>
    <row r="103" spans="2:11" ht="15" customHeight="1" x14ac:dyDescent="0.4">
      <c r="B103" s="1" t="s">
        <v>173</v>
      </c>
      <c r="C103" s="91">
        <f>H103*Common_Shares/Data!C4</f>
        <v>696824.19727994513</v>
      </c>
      <c r="E103" s="110">
        <f>PV(C94,D93,0,-F94)*Exchange_Rate</f>
        <v>19.447578121988993</v>
      </c>
      <c r="F103" s="124">
        <f>PV(C93,D93,0,-F94)*Exchange_Rate</f>
        <v>27.629994580629596</v>
      </c>
      <c r="H103" s="124">
        <f>PV(C93,D93,0,-I94)*Exchange_Rate</f>
        <v>27.629994580629596</v>
      </c>
      <c r="I103" s="110">
        <f>H103*1.25</f>
        <v>34.537493225786996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234</v>
      </c>
      <c r="F105" s="190" t="s">
        <v>224</v>
      </c>
      <c r="H105" s="190" t="s">
        <v>224</v>
      </c>
      <c r="I105" s="125" t="s">
        <v>233</v>
      </c>
      <c r="K105" s="24"/>
    </row>
    <row r="106" spans="2:11" ht="15" customHeight="1" x14ac:dyDescent="0.4">
      <c r="B106" s="1" t="s">
        <v>215</v>
      </c>
      <c r="C106" s="91">
        <f>F106*Common_Shares/Data!C4</f>
        <v>1783644.7641344003</v>
      </c>
      <c r="E106" s="110">
        <f>(E100+E103)/2</f>
        <v>49.779515447057364</v>
      </c>
      <c r="F106" s="124">
        <f>(F100+F103)/2</f>
        <v>70.72385740790088</v>
      </c>
      <c r="H106" s="124">
        <f>(H100+H103)/2</f>
        <v>70.72385740790088</v>
      </c>
      <c r="I106" s="110">
        <f>H106*1.25</f>
        <v>88.4048217598761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245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2024-11-19T05:28:16Z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