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F48657D3-E1D9-4309-8C91-8D5792367E9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18" i="2" l="1"/>
  <c r="D18" i="2"/>
  <c r="M18" i="2"/>
  <c r="L29" i="2"/>
  <c r="L30" i="2"/>
  <c r="L31" i="2"/>
  <c r="L32" i="2"/>
  <c r="L33" i="2"/>
  <c r="L34" i="2"/>
  <c r="L35" i="2"/>
  <c r="L37" i="2"/>
  <c r="L28" i="2" s="1"/>
  <c r="L38" i="2"/>
  <c r="L39" i="2"/>
  <c r="L40" i="2" s="1"/>
  <c r="L41" i="2" s="1"/>
  <c r="L18" i="2"/>
  <c r="K18" i="2"/>
  <c r="L36" i="2" l="1"/>
  <c r="J18" i="2"/>
  <c r="I18" i="2"/>
  <c r="H18" i="2" l="1"/>
  <c r="G18" i="2"/>
  <c r="F18" i="2"/>
  <c r="E18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C88" i="3"/>
  <c r="H89" i="3" l="1"/>
  <c r="E88" i="3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7" i="2"/>
  <c r="F37" i="2"/>
  <c r="G37" i="2"/>
  <c r="H37" i="2"/>
  <c r="H28" i="2" s="1"/>
  <c r="I37" i="2"/>
  <c r="I28" i="2" s="1"/>
  <c r="J37" i="2"/>
  <c r="J28" i="2" s="1"/>
  <c r="K37" i="2"/>
  <c r="K28" i="2" s="1"/>
  <c r="M37" i="2"/>
  <c r="M28" i="2" s="1"/>
  <c r="E38" i="2"/>
  <c r="F38" i="2"/>
  <c r="G38" i="2"/>
  <c r="H38" i="2"/>
  <c r="I38" i="2"/>
  <c r="J38" i="2"/>
  <c r="K38" i="2"/>
  <c r="M38" i="2"/>
  <c r="E39" i="2"/>
  <c r="F39" i="2"/>
  <c r="G39" i="2"/>
  <c r="G40" i="2" s="1"/>
  <c r="G41" i="2" s="1"/>
  <c r="H39" i="2"/>
  <c r="H40" i="2" s="1"/>
  <c r="H41" i="2" s="1"/>
  <c r="I39" i="2"/>
  <c r="I40" i="2" s="1"/>
  <c r="I41" i="2" s="1"/>
  <c r="J39" i="2"/>
  <c r="J40" i="2" s="1"/>
  <c r="J41" i="2" s="1"/>
  <c r="K39" i="2"/>
  <c r="K40" i="2" s="1"/>
  <c r="K41" i="2" s="1"/>
  <c r="M39" i="2"/>
  <c r="M40" i="2" s="1"/>
  <c r="M41" i="2" s="1"/>
  <c r="D38" i="2"/>
  <c r="D39" i="2"/>
  <c r="D37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0" i="2"/>
  <c r="E20" i="2"/>
  <c r="F20" i="2"/>
  <c r="G20" i="2"/>
  <c r="H20" i="2"/>
  <c r="I20" i="2"/>
  <c r="J20" i="2"/>
  <c r="K20" i="2"/>
  <c r="L20" i="2"/>
  <c r="M20" i="2"/>
  <c r="D21" i="2"/>
  <c r="E21" i="2"/>
  <c r="F21" i="2"/>
  <c r="G21" i="2"/>
  <c r="H21" i="2"/>
  <c r="I21" i="2"/>
  <c r="J21" i="2"/>
  <c r="K21" i="2"/>
  <c r="L21" i="2"/>
  <c r="M21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M2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9" i="2"/>
  <c r="F29" i="2"/>
  <c r="G29" i="2"/>
  <c r="H29" i="2"/>
  <c r="I29" i="2"/>
  <c r="J29" i="2"/>
  <c r="K29" i="2"/>
  <c r="M29" i="2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51" i="2"/>
  <c r="M30" i="2"/>
  <c r="M51" i="2" s="1"/>
  <c r="E31" i="2"/>
  <c r="F31" i="2"/>
  <c r="G31" i="2"/>
  <c r="G52" i="2" s="1"/>
  <c r="H31" i="2"/>
  <c r="H52" i="2" s="1"/>
  <c r="I31" i="2"/>
  <c r="I52" i="2" s="1"/>
  <c r="J31" i="2"/>
  <c r="J52" i="2" s="1"/>
  <c r="K31" i="2"/>
  <c r="K52" i="2" s="1"/>
  <c r="L52" i="2"/>
  <c r="M31" i="2"/>
  <c r="M52" i="2" s="1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E35" i="2"/>
  <c r="F35" i="2"/>
  <c r="G35" i="2"/>
  <c r="H35" i="2"/>
  <c r="I35" i="2"/>
  <c r="J35" i="2"/>
  <c r="K35" i="2"/>
  <c r="M35" i="2"/>
  <c r="D30" i="2"/>
  <c r="D31" i="2"/>
  <c r="D32" i="2"/>
  <c r="D33" i="2"/>
  <c r="D34" i="2"/>
  <c r="D35" i="2"/>
  <c r="D29" i="2"/>
  <c r="C20" i="2"/>
  <c r="C21" i="2"/>
  <c r="C13" i="2"/>
  <c r="C79" i="3" s="1"/>
  <c r="C14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D45" i="2" l="1"/>
  <c r="G45" i="2"/>
  <c r="M45" i="2"/>
  <c r="M15" i="2"/>
  <c r="L45" i="2"/>
  <c r="E45" i="2"/>
  <c r="C45" i="2"/>
  <c r="K45" i="2"/>
  <c r="H45" i="2"/>
  <c r="J45" i="2"/>
  <c r="F45" i="2"/>
  <c r="I45" i="2"/>
  <c r="D44" i="2"/>
  <c r="D19" i="2"/>
  <c r="G19" i="2"/>
  <c r="G44" i="2"/>
  <c r="E44" i="2"/>
  <c r="E19" i="2"/>
  <c r="C19" i="2"/>
  <c r="C44" i="2"/>
  <c r="M44" i="2"/>
  <c r="M12" i="2"/>
  <c r="M19" i="2"/>
  <c r="K44" i="2"/>
  <c r="K19" i="2"/>
  <c r="H19" i="2"/>
  <c r="H44" i="2"/>
  <c r="L44" i="2"/>
  <c r="L19" i="2"/>
  <c r="J19" i="2"/>
  <c r="J44" i="2"/>
  <c r="F44" i="2"/>
  <c r="F19" i="2"/>
  <c r="I19" i="2"/>
  <c r="I44" i="2"/>
  <c r="C80" i="3"/>
  <c r="D46" i="2"/>
  <c r="D47" i="2"/>
  <c r="D48" i="2"/>
  <c r="H47" i="2"/>
  <c r="F47" i="2"/>
  <c r="E47" i="2"/>
  <c r="H105" i="3"/>
  <c r="E105" i="3"/>
  <c r="I7" i="2"/>
  <c r="J47" i="2"/>
  <c r="J7" i="2"/>
  <c r="K47" i="2"/>
  <c r="I47" i="2"/>
  <c r="G28" i="2"/>
  <c r="M47" i="2"/>
  <c r="L17" i="2"/>
  <c r="L47" i="2"/>
  <c r="C47" i="2"/>
  <c r="G47" i="2"/>
  <c r="H17" i="2"/>
  <c r="D17" i="2"/>
  <c r="F7" i="2"/>
  <c r="E36" i="2"/>
  <c r="K36" i="2"/>
  <c r="M36" i="2"/>
  <c r="E52" i="2"/>
  <c r="E51" i="2"/>
  <c r="D36" i="2"/>
  <c r="I36" i="2"/>
  <c r="F52" i="2"/>
  <c r="J36" i="2"/>
  <c r="F51" i="2"/>
  <c r="G17" i="2"/>
  <c r="F28" i="2"/>
  <c r="F40" i="2" s="1"/>
  <c r="E28" i="2"/>
  <c r="E40" i="2" s="1"/>
  <c r="D52" i="2"/>
  <c r="H36" i="2"/>
  <c r="D51" i="2"/>
  <c r="G36" i="2"/>
  <c r="F36" i="2"/>
  <c r="D28" i="2"/>
  <c r="D40" i="2" s="1"/>
  <c r="E17" i="2"/>
  <c r="F17" i="2"/>
  <c r="J17" i="2"/>
  <c r="E5" i="4"/>
  <c r="F9" i="2"/>
  <c r="E9" i="2"/>
  <c r="E12" i="2" s="1"/>
  <c r="L7" i="2"/>
  <c r="C7" i="2"/>
  <c r="M17" i="2"/>
  <c r="E7" i="2"/>
  <c r="C17" i="2"/>
  <c r="D9" i="2"/>
  <c r="D12" i="2" s="1"/>
  <c r="H7" i="2"/>
  <c r="H9" i="2"/>
  <c r="K17" i="2"/>
  <c r="I17" i="2"/>
  <c r="G7" i="2"/>
  <c r="G9" i="2"/>
  <c r="G12" i="2" s="1"/>
  <c r="G15" i="2" s="1"/>
  <c r="G22" i="2" s="1"/>
  <c r="K7" i="2"/>
  <c r="C9" i="2"/>
  <c r="M9" i="2"/>
  <c r="L9" i="2"/>
  <c r="L12" i="2" s="1"/>
  <c r="F3" i="2" s="1"/>
  <c r="I9" i="2"/>
  <c r="D7" i="2"/>
  <c r="K9" i="2"/>
  <c r="K12" i="2" s="1"/>
  <c r="J9" i="2"/>
  <c r="J12" i="2" s="1"/>
  <c r="E102" i="3"/>
  <c r="H102" i="3"/>
  <c r="C93" i="3"/>
  <c r="M16" i="2"/>
  <c r="E15" i="2" l="1"/>
  <c r="E22" i="2" s="1"/>
  <c r="E56" i="2" s="1"/>
  <c r="D15" i="2"/>
  <c r="D22" i="2" s="1"/>
  <c r="D55" i="2" s="1"/>
  <c r="J15" i="2"/>
  <c r="J22" i="2" s="1"/>
  <c r="J56" i="2" s="1"/>
  <c r="K15" i="2"/>
  <c r="K22" i="2" s="1"/>
  <c r="K55" i="2" s="1"/>
  <c r="G56" i="2"/>
  <c r="L15" i="2"/>
  <c r="L22" i="2" s="1"/>
  <c r="L25" i="2" s="1"/>
  <c r="L24" i="2" s="1"/>
  <c r="I12" i="2"/>
  <c r="F12" i="2"/>
  <c r="H12" i="2"/>
  <c r="C12" i="2"/>
  <c r="M56" i="2"/>
  <c r="L23" i="2"/>
  <c r="M55" i="2"/>
  <c r="E41" i="2"/>
  <c r="F41" i="2"/>
  <c r="D41" i="2"/>
  <c r="K56" i="2" l="1"/>
  <c r="L56" i="2"/>
  <c r="L55" i="2"/>
  <c r="D56" i="2"/>
  <c r="G55" i="2"/>
  <c r="I15" i="2"/>
  <c r="I22" i="2" s="1"/>
  <c r="I56" i="2" s="1"/>
  <c r="F15" i="2"/>
  <c r="F22" i="2" s="1"/>
  <c r="F56" i="2" s="1"/>
  <c r="G3" i="2"/>
  <c r="C15" i="2"/>
  <c r="C22" i="2" s="1"/>
  <c r="C56" i="2" s="1"/>
  <c r="H15" i="2"/>
  <c r="H22" i="2" s="1"/>
  <c r="H56" i="2" s="1"/>
  <c r="D49" i="2"/>
  <c r="E55" i="2"/>
  <c r="J55" i="2"/>
  <c r="E89" i="3"/>
  <c r="H55" i="2" l="1"/>
  <c r="I55" i="2"/>
  <c r="F55" i="2"/>
  <c r="I94" i="3"/>
  <c r="H103" i="3" s="1"/>
  <c r="G26" i="1"/>
  <c r="C82" i="3"/>
  <c r="C96" i="3"/>
  <c r="C102" i="3" s="1"/>
  <c r="C105" i="3" s="1"/>
  <c r="B96" i="3"/>
  <c r="C81" i="3"/>
  <c r="E48" i="2"/>
  <c r="F48" i="2"/>
  <c r="G48" i="2"/>
  <c r="H48" i="2"/>
  <c r="I48" i="2"/>
  <c r="J48" i="2"/>
  <c r="K48" i="2"/>
  <c r="L48" i="2"/>
  <c r="M48" i="2"/>
  <c r="G33" i="3"/>
  <c r="C46" i="2"/>
  <c r="C30" i="2"/>
  <c r="C51" i="2" s="1"/>
  <c r="E46" i="2"/>
  <c r="F46" i="2"/>
  <c r="G46" i="2"/>
  <c r="H46" i="2"/>
  <c r="I46" i="2"/>
  <c r="J46" i="2"/>
  <c r="K46" i="2"/>
  <c r="L46" i="2"/>
  <c r="M46" i="2"/>
  <c r="I34" i="3"/>
  <c r="I54" i="2"/>
  <c r="J54" i="2"/>
  <c r="K54" i="2"/>
  <c r="L54" i="2"/>
  <c r="M54" i="2"/>
  <c r="C31" i="2"/>
  <c r="C52" i="2" s="1"/>
  <c r="E9" i="3"/>
  <c r="E6" i="1" s="1"/>
  <c r="F94" i="3" l="1"/>
  <c r="C48" i="2"/>
  <c r="C103" i="3"/>
  <c r="I15" i="3"/>
  <c r="D56" i="3" s="1"/>
  <c r="C62" i="3"/>
  <c r="E103" i="3" l="1"/>
  <c r="F103" i="3" s="1"/>
  <c r="C27" i="2"/>
  <c r="B73" i="3"/>
  <c r="C74" i="3"/>
  <c r="H74" i="3" s="1"/>
  <c r="C75" i="3"/>
  <c r="D4" i="2"/>
  <c r="D43" i="2"/>
  <c r="E43" i="2"/>
  <c r="F43" i="2"/>
  <c r="G43" i="2"/>
  <c r="H43" i="2"/>
  <c r="I43" i="2"/>
  <c r="J43" i="2"/>
  <c r="K43" i="2"/>
  <c r="L43" i="2"/>
  <c r="M43" i="2"/>
  <c r="C43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2" i="2"/>
  <c r="C33" i="2"/>
  <c r="C25" i="3"/>
  <c r="M26" i="2"/>
  <c r="K16" i="2"/>
  <c r="L16" i="2"/>
  <c r="D103" i="3" l="1"/>
  <c r="I103" i="3"/>
  <c r="E74" i="3"/>
  <c r="I16" i="2"/>
  <c r="J16" i="2"/>
  <c r="D16" i="2"/>
  <c r="H54" i="2"/>
  <c r="D77" i="3"/>
  <c r="H77" i="3" s="1"/>
  <c r="D54" i="2"/>
  <c r="E25" i="2"/>
  <c r="D81" i="3"/>
  <c r="C76" i="3"/>
  <c r="C78" i="3" s="1"/>
  <c r="D82" i="3"/>
  <c r="H82" i="3" s="1"/>
  <c r="D75" i="3"/>
  <c r="H75" i="3" s="1"/>
  <c r="D80" i="3"/>
  <c r="H80" i="3" s="1"/>
  <c r="D79" i="3"/>
  <c r="H79" i="3" s="1"/>
  <c r="C28" i="3"/>
  <c r="C29" i="2" s="1"/>
  <c r="E75" i="3" l="1"/>
  <c r="F75" i="3" s="1"/>
  <c r="E80" i="3"/>
  <c r="E77" i="3"/>
  <c r="F77" i="3" s="1"/>
  <c r="G25" i="2"/>
  <c r="J49" i="2"/>
  <c r="D25" i="2"/>
  <c r="L49" i="2"/>
  <c r="H16" i="2"/>
  <c r="C16" i="2"/>
  <c r="I77" i="3"/>
  <c r="F4" i="2"/>
  <c r="G16" i="2"/>
  <c r="F16" i="2"/>
  <c r="E16" i="2"/>
  <c r="I75" i="3"/>
  <c r="I79" i="3"/>
  <c r="I81" i="3"/>
  <c r="C83" i="3"/>
  <c r="C85" i="3" s="1"/>
  <c r="I82" i="3"/>
  <c r="F82" i="3" s="1"/>
  <c r="E82" i="3" s="1"/>
  <c r="I80" i="3"/>
  <c r="C25" i="2"/>
  <c r="E49" i="2"/>
  <c r="C35" i="2"/>
  <c r="C34" i="2"/>
  <c r="C47" i="3"/>
  <c r="C45" i="3"/>
  <c r="C27" i="3"/>
  <c r="C26" i="3"/>
  <c r="C44" i="3"/>
  <c r="C46" i="3"/>
  <c r="C36" i="2" l="1"/>
  <c r="C55" i="2" s="1"/>
  <c r="G49" i="2"/>
  <c r="K49" i="2"/>
  <c r="M25" i="2"/>
  <c r="L26" i="2" s="1"/>
  <c r="K25" i="2"/>
  <c r="K24" i="2" s="1"/>
  <c r="J25" i="2"/>
  <c r="J24" i="2" s="1"/>
  <c r="H25" i="2"/>
  <c r="H24" i="2" s="1"/>
  <c r="I49" i="2"/>
  <c r="H49" i="2"/>
  <c r="I25" i="2"/>
  <c r="I24" i="2" s="1"/>
  <c r="F25" i="2"/>
  <c r="F49" i="2"/>
  <c r="M49" i="2"/>
  <c r="M24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9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4" i="2"/>
  <c r="M23" i="2"/>
  <c r="K26" i="2"/>
  <c r="J26" i="2"/>
  <c r="I26" i="2"/>
  <c r="H26" i="2"/>
  <c r="G26" i="2"/>
  <c r="G5" i="1"/>
  <c r="C2" i="1"/>
  <c r="C57" i="2"/>
  <c r="I93" i="3" l="1"/>
  <c r="H97" i="3" s="1"/>
  <c r="C97" i="3" s="1"/>
  <c r="G24" i="1"/>
  <c r="I88" i="3"/>
  <c r="C61" i="3"/>
  <c r="E61" i="3"/>
  <c r="E63" i="3" s="1"/>
  <c r="D26" i="2"/>
  <c r="E24" i="2"/>
  <c r="D24" i="2"/>
  <c r="C26" i="2"/>
  <c r="F24" i="2"/>
  <c r="E26" i="2"/>
  <c r="F26" i="2"/>
  <c r="G24" i="2"/>
  <c r="D5" i="2"/>
  <c r="E5" i="2" s="1"/>
  <c r="E45" i="3"/>
  <c r="E47" i="3"/>
  <c r="D47" i="3" s="1"/>
  <c r="E46" i="3"/>
  <c r="D46" i="3" s="1"/>
  <c r="E25" i="3"/>
  <c r="E27" i="3"/>
  <c r="E26" i="3"/>
  <c r="I7" i="3"/>
  <c r="G23" i="2"/>
  <c r="H23" i="2"/>
  <c r="I23" i="2"/>
  <c r="J23" i="2"/>
  <c r="K23" i="2"/>
  <c r="F23" i="2"/>
  <c r="E64" i="3"/>
  <c r="E69" i="3" s="1"/>
  <c r="E24" i="3"/>
  <c r="E48" i="3"/>
  <c r="D48" i="3" s="1"/>
  <c r="E23" i="2"/>
  <c r="D23" i="2"/>
  <c r="C23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7" i="2"/>
  <c r="E27" i="2" s="1"/>
  <c r="F27" i="2" s="1"/>
  <c r="G27" i="2" s="1"/>
  <c r="H27" i="2" s="1"/>
  <c r="I27" i="2" s="1"/>
  <c r="J27" i="2" s="1"/>
  <c r="K27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7" i="2"/>
  <c r="M27" i="2" s="1"/>
  <c r="C65" i="3"/>
  <c r="D65" i="3" s="1"/>
  <c r="C39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40" i="2"/>
  <c r="C41" i="2" s="1"/>
  <c r="D49" i="3"/>
  <c r="D68" i="3"/>
  <c r="D4" i="3"/>
  <c r="C53" i="3" s="1"/>
  <c r="C37" i="2"/>
  <c r="J28" i="3"/>
  <c r="G23" i="1" l="1"/>
  <c r="E53" i="3" s="1"/>
  <c r="C28" i="2"/>
  <c r="C54" i="2" s="1"/>
  <c r="C38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<sst xmlns="http://schemas.openxmlformats.org/spreadsheetml/2006/main" count="372" uniqueCount="269">
  <si>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</si>
  <si>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</si>
  <si>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</si>
  <si>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</si>
  <si>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</si>
  <si>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</si>
  <si>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</si>
  <si>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</si>
  <si>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</si>
  <si>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</si>
  <si>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</si>
  <si>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</si>
  <si>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</si>
  <si>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</si>
  <si>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</si>
  <si>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</si>
  <si>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</si>
  <si>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</si>
  <si>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</si>
  <si>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</si>
  <si>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</si>
  <si>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</si>
  <si>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</si>
  <si>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</si>
  <si>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</si>
  <si>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</si>
  <si>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</si>
  <si>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</si>
  <si>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</si>
  <si>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</si>
  <si>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</si>
  <si>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</si>
  <si>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</si>
  <si>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</si>
  <si>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</si>
  <si>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</si>
  <si>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</si>
  <si>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</si>
  <si>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</si>
  <si>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</si>
  <si>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</si>
  <si>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</si>
  <si>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</si>
  <si>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</si>
  <si>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</si>
  <si>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</si>
  <si>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</si>
  <si>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</si>
  <si>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</si>
  <si>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</si>
  <si>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</si>
  <si>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</si>
  <si>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</si>
  <si>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</si>
  <si>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</si>
  <si>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</si>
  <si>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</si>
  <si>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</si>
  <si>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</si>
  <si>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</si>
  <si>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</si>
  <si>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</si>
  <si>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</si>
  <si>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</si>
  <si>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</si>
  <si>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</si>
  <si>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</si>
  <si>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</si>
  <si>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</si>
  <si>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</si>
  <si>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</si>
  <si>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</si>
  <si>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</si>
  <si>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</si>
  <si>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</si>
  <si>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</si>
  <si>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</si>
  <si>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</si>
  <si>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</si>
  <si>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</si>
  <si>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</si>
  <si>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</si>
  <si>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</si>
  <si>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</si>
  <si>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</si>
  <si>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</si>
  <si>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</si>
  <si>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</si>
  <si>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</si>
  <si>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</si>
  <si>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</si>
  <si>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</si>
  <si>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</si>
  <si>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</si>
  <si>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</si>
  <si>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</si>
  <si>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</si>
  <si>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</si>
  <si>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</si>
  <si>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</si>
  <si>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</si>
  <si>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</si>
  <si>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</si>
  <si>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</si>
  <si>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</si>
  <si>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</si>
  <si>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</si>
  <si>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</si>
  <si>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</si>
  <si>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</si>
  <si>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</si>
  <si>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</si>
  <si>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</si>
  <si>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</si>
  <si>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</si>
  <si>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</si>
  <si>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</si>
  <si>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</si>
  <si>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</si>
  <si>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</si>
  <si>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</si>
  <si>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</si>
  <si>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</si>
  <si>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</si>
  <si>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</si>
  <si>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</si>
  <si>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</si>
  <si>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</si>
  <si>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</si>
  <si>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</si>
  <si>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</si>
  <si>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</si>
  <si>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</si>
  <si>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</si>
  <si>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</si>
  <si>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</si>
  <si>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</si>
  <si>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</si>
  <si>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</si>
  <si>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</si>
  <si>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</si>
  <si>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</si>
  <si>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</si>
  <si>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</si>
  <si>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</si>
  <si>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</si>
  <si>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</si>
  <si>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</si>
  <si>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</si>
  <si>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</si>
  <si>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</si>
  <si>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</si>
  <si>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</si>
  <si>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</si>
  <si>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</si>
  <si>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</si>
  <si>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</si>
  <si>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</si>
  <si>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</si>
  <si>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</si>
  <si>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</si>
  <si>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</si>
  <si>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</si>
  <si>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</si>
  <si>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</si>
  <si>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</si>
  <si>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</si>
  <si>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</si>
  <si>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</si>
  <si>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</si>
  <si>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</si>
  <si>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</si>
  <si>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</si>
  <si>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</si>
  <si>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</si>
  <si>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</si>
  <si>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</si>
  <si>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</si>
  <si>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</si>
  <si>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</si>
  <si>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</si>
  <si>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</si>
  <si>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</si>
  <si>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</si>
  <si>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</si>
  <si>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</si>
  <si>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</si>
  <si>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</si>
  <si>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</si>
  <si>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</si>
  <si>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</si>
  <si>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</si>
  <si>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</si>
  <si>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</si>
  <si>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</si>
  <si>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</si>
  <si>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</si>
  <si>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</si>
  <si>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</si>
  <si>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</si>
  <si>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</si>
  <si>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</si>
  <si>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</si>
  <si>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</si>
  <si>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</si>
  <si>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</si>
  <si>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</si>
  <si>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</si>
  <si>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</si>
  <si>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</si>
  <si>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</si>
  <si>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</si>
  <si>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</si>
  <si>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</si>
  <si>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</si>
  <si>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</si>
  <si>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</si>
  <si>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</si>
  <si>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</si>
  <si>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</si>
  <si>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</si>
  <si>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</si>
  <si>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</si>
  <si>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</si>
  <si>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</si>
  <si>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</si>
  <si>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</si>
  <si>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</si>
  <si>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</si>
  <si>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</si>
  <si>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</si>
  <si>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</si>
  <si>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</si>
  <si>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</si>
  <si>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D/P Dividend Yield</t>
    <phoneticPr fontId="20" type="noConversion"/>
  </si>
  <si>
    <t>0857.HK</t>
    <phoneticPr fontId="20" type="noConversion"/>
  </si>
  <si>
    <t>C0013</t>
    <phoneticPr fontId="20" type="noConversion"/>
  </si>
  <si>
    <t>Avg</t>
  </si>
  <si>
    <t>- Operating Expenses =</t>
  </si>
  <si>
    <t>- (MCX - D&amp;A)</t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</si>
  <si>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</si>
  <si>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</si>
  <si>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</si>
  <si>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unclear</t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</si>
  <si>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</si>
  <si>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</si>
  <si>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</si>
  <si>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</si>
  <si>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</si>
  <si>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</si>
  <si>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</si>
  <si>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Operating Expenses</t>
  </si>
  <si>
    <t>MCX-D&amp;A</t>
  </si>
  <si>
    <t>Strongly agree</t>
  </si>
  <si>
    <t>agree</t>
  </si>
  <si>
    <t>6. No big MCX-D&amp;A required?</t>
  </si>
  <si>
    <t>disagree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</si>
  <si>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</si>
  <si>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</si>
  <si>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</si>
  <si>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</si>
  <si>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</si>
  <si>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</si>
  <si>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EBT</t>
    <phoneticPr fontId="20" type="noConversion"/>
  </si>
  <si>
    <t>EBT Growth</t>
    <phoneticPr fontId="20" type="noConversion"/>
  </si>
  <si>
    <t>Pessimistic Case</t>
  </si>
  <si>
    <t>Template</t>
    <phoneticPr fontId="20" type="noConversion"/>
  </si>
  <si>
    <t>3. Upward earnings trend?</t>
    <phoneticPr fontId="20" type="noConversion"/>
  </si>
  <si>
    <t>4. Stable margin and ROE?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</si>
</sst>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4" xfId="0" quotePrefix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Operating Expenses</c:v>
                </c:pt>
                <c:pt idx="2">
                  <c:v>Interest</c:v>
                </c:pt>
                <c:pt idx="3">
                  <c:v>MCX-D&amp;A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13" zoomScaleNormal="100" workbookViewId="0">
      <selection activeCell="F15" sqref="F15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224</v>
      </c>
    </row>
    <row r="4" spans="1:6" ht="13.9" x14ac:dyDescent="0.4">
      <c r="B4" s="142" t="s">
        <v>203</v>
      </c>
      <c r="C4" s="195" t="s">
        <v>235</v>
      </c>
      <c r="E4" s="240" t="s">
        <v>216</v>
      </c>
      <c r="F4" s="12" t="str">
        <f>C11</f>
        <v>CNY</v>
      </c>
    </row>
    <row r="5" spans="1:6" ht="13.9" x14ac:dyDescent="0.4">
      <c r="B5" s="142" t="s">
        <v>204</v>
      </c>
      <c r="C5" s="198" t="s">
        <v>266</v>
      </c>
      <c r="E5" s="231">
        <f>C18</f>
        <v>45291</v>
      </c>
      <c r="F5" s="232"/>
    </row>
    <row r="6" spans="1:6" ht="13.9" x14ac:dyDescent="0.4">
      <c r="B6" s="142" t="s">
        <v>169</v>
      </c>
      <c r="C6" s="196">
        <v>45605</v>
      </c>
      <c r="E6" s="233" t="s">
        <v>214</v>
      </c>
      <c r="F6" s="232"/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225</v>
      </c>
      <c r="C8" s="198" t="s">
        <v>46</v>
      </c>
    </row>
    <row r="9" spans="1:6" ht="13.9" x14ac:dyDescent="0.4">
      <c r="B9" s="141" t="s">
        <v>226</v>
      </c>
      <c r="C9" s="199" t="s">
        <v>236</v>
      </c>
    </row>
    <row r="10" spans="1:6" ht="13.9" x14ac:dyDescent="0.4">
      <c r="B10" s="141" t="s">
        <v>227</v>
      </c>
      <c r="C10" s="200">
        <v>183020977818</v>
      </c>
    </row>
    <row r="11" spans="1:6" ht="13.9" x14ac:dyDescent="0.4">
      <c r="B11" s="141" t="s">
        <v>228</v>
      </c>
      <c r="C11" s="199" t="s">
        <v>232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230</v>
      </c>
      <c r="C14" s="228">
        <v>45473</v>
      </c>
    </row>
    <row r="15" spans="1:6" ht="13.9" x14ac:dyDescent="0.4">
      <c r="B15" s="227" t="s">
        <v>229</v>
      </c>
      <c r="C15" s="182" t="s">
        <v>233</v>
      </c>
    </row>
    <row r="16" spans="1:6" ht="13.9" x14ac:dyDescent="0.4">
      <c r="B16" s="234" t="s">
        <v>97</v>
      </c>
      <c r="C16" s="235">
        <v>0.25</v>
      </c>
      <c r="D16" s="24"/>
    </row>
    <row r="18" spans="2:13" ht="13.9" x14ac:dyDescent="0.4">
      <c r="B18" s="116" t="s">
        <v>138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106</v>
      </c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104</v>
      </c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107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125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9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110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105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7" t="s">
        <v>108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118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153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117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142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143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141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205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140</v>
      </c>
      <c r="C41" s="59"/>
      <c r="D41" s="60">
        <v>0.8</v>
      </c>
      <c r="E41" s="113"/>
    </row>
    <row r="42" spans="2:13" ht="13.9" x14ac:dyDescent="0.4">
      <c r="B42" s="3" t="s">
        <v>118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164</v>
      </c>
      <c r="C45" s="59"/>
      <c r="D45" s="60">
        <f>D42</f>
        <v>0.6</v>
      </c>
      <c r="E45" s="113"/>
    </row>
    <row r="46" spans="2:13" ht="13.9" x14ac:dyDescent="0.4">
      <c r="B46" s="3" t="s">
        <v>119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121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165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120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231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25" zoomScaleNormal="100" workbookViewId="0">
      <selection activeCell="B38" sqref="B3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Template</v>
      </c>
      <c r="D2" s="87"/>
      <c r="E2" s="7"/>
      <c r="F2" s="7"/>
      <c r="G2" s="86"/>
      <c r="H2" s="86"/>
    </row>
    <row r="3" spans="1:10" ht="15.75" customHeight="1" x14ac:dyDescent="0.4">
      <c r="B3" s="3" t="s">
        <v>203</v>
      </c>
      <c r="C3" s="252" t="str">
        <f>Inputs!C4</f>
        <v>0857.HK</v>
      </c>
      <c r="D3" s="253"/>
      <c r="E3" s="87"/>
      <c r="F3" s="3" t="s">
        <v>1</v>
      </c>
      <c r="G3" s="133">
        <v>5.5500001907348633</v>
      </c>
      <c r="H3" s="135" t="s">
        <v>2</v>
      </c>
    </row>
    <row r="4" spans="1:10" ht="15.75" customHeight="1" x14ac:dyDescent="0.4">
      <c r="B4" s="35" t="s">
        <v>204</v>
      </c>
      <c r="C4" s="254" t="str">
        <f>Inputs!C5</f>
        <v>Template</v>
      </c>
      <c r="D4" s="255"/>
      <c r="E4" s="87"/>
      <c r="F4" s="3" t="s">
        <v>3</v>
      </c>
      <c r="G4" s="258">
        <f>Inputs!C10</f>
        <v>183020977818</v>
      </c>
      <c r="H4" s="258"/>
      <c r="I4" s="39"/>
    </row>
    <row r="5" spans="1:10" ht="15.75" customHeight="1" x14ac:dyDescent="0.4">
      <c r="B5" s="3" t="s">
        <v>169</v>
      </c>
      <c r="C5" s="256">
        <f>Inputs!C6</f>
        <v>45605</v>
      </c>
      <c r="D5" s="257"/>
      <c r="E5" s="34"/>
      <c r="F5" s="35" t="s">
        <v>100</v>
      </c>
      <c r="G5" s="250">
        <f>G3*G4/1000000</f>
        <v>1015766.4617983812</v>
      </c>
      <c r="H5" s="250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51" t="str">
        <f>Inputs!C11</f>
        <v>CNY</v>
      </c>
      <c r="H6" s="251"/>
      <c r="I6" s="38"/>
    </row>
    <row r="7" spans="1:10" ht="15.75" customHeight="1" x14ac:dyDescent="0.4">
      <c r="B7" s="86" t="s">
        <v>201</v>
      </c>
      <c r="C7" s="194" t="str">
        <f>Inputs!C8</f>
        <v>Y</v>
      </c>
      <c r="D7" s="194" t="str">
        <f>Inputs!C9</f>
        <v>C0013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199</v>
      </c>
      <c r="F9" s="144" t="s">
        <v>193</v>
      </c>
    </row>
    <row r="10" spans="1:10" ht="15.75" customHeight="1" x14ac:dyDescent="0.4">
      <c r="B10" s="1" t="s">
        <v>182</v>
      </c>
      <c r="C10" s="178">
        <v>4.2099999999999999E-2</v>
      </c>
      <c r="F10" s="111" t="s">
        <v>190</v>
      </c>
    </row>
    <row r="11" spans="1:10" ht="15.75" customHeight="1" thickBot="1" x14ac:dyDescent="0.45">
      <c r="B11" s="123" t="s">
        <v>186</v>
      </c>
      <c r="C11" s="179">
        <v>5.3099999999999994E-2</v>
      </c>
      <c r="D11" s="138" t="s">
        <v>197</v>
      </c>
      <c r="F11" s="111" t="s">
        <v>184</v>
      </c>
    </row>
    <row r="12" spans="1:10" ht="15.75" customHeight="1" thickTop="1" x14ac:dyDescent="0.4">
      <c r="B12" s="87" t="s">
        <v>136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183</v>
      </c>
      <c r="C14" s="178">
        <v>2.1309999999999999E-2</v>
      </c>
      <c r="F14" s="111" t="s">
        <v>189</v>
      </c>
    </row>
    <row r="15" spans="1:10" ht="15.75" customHeight="1" x14ac:dyDescent="0.4">
      <c r="B15" s="1" t="s">
        <v>194</v>
      </c>
      <c r="C15" s="178">
        <v>6.5000000000000002E-2</v>
      </c>
      <c r="F15" s="111" t="s">
        <v>187</v>
      </c>
    </row>
    <row r="16" spans="1:10" ht="15.75" customHeight="1" thickBot="1" x14ac:dyDescent="0.45">
      <c r="B16" s="123" t="s">
        <v>195</v>
      </c>
      <c r="C16" s="179">
        <v>0.16</v>
      </c>
      <c r="D16" s="145" t="s">
        <v>198</v>
      </c>
      <c r="F16" s="111" t="s">
        <v>185</v>
      </c>
    </row>
    <row r="17" spans="1:8" ht="15.75" customHeight="1" thickTop="1" x14ac:dyDescent="0.4">
      <c r="B17" s="87" t="s">
        <v>188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191</v>
      </c>
      <c r="C19" s="136" t="s">
        <v>52</v>
      </c>
      <c r="D19" s="87"/>
      <c r="E19" s="87"/>
      <c r="F19" s="143" t="s">
        <v>221</v>
      </c>
      <c r="G19" s="87"/>
      <c r="H19" s="87"/>
    </row>
    <row r="20" spans="1:8" ht="15.75" customHeight="1" x14ac:dyDescent="0.4">
      <c r="B20" s="138" t="s">
        <v>175</v>
      </c>
      <c r="C20" s="177" t="e">
        <f>Fin_Analysis!I75</f>
        <v>#VALUE!</v>
      </c>
      <c r="F20" s="87" t="s">
        <v>220</v>
      </c>
      <c r="G20" s="178">
        <v>0.15</v>
      </c>
    </row>
    <row r="21" spans="1:8" ht="15.75" customHeight="1" x14ac:dyDescent="0.4">
      <c r="B21" s="138" t="s">
        <v>251</v>
      </c>
      <c r="C21" s="177" t="e">
        <f>Fin_Analysis!I77</f>
        <v>#VALUE!</v>
      </c>
      <c r="F21" s="87"/>
      <c r="G21" s="29"/>
    </row>
    <row r="22" spans="1:8" ht="15.75" customHeight="1" x14ac:dyDescent="0.4">
      <c r="B22" s="138" t="s">
        <v>176</v>
      </c>
      <c r="C22" s="177" t="e">
        <f>Fin_Analysis!I79</f>
        <v>#VALUE!</v>
      </c>
      <c r="F22" s="143" t="s">
        <v>192</v>
      </c>
    </row>
    <row r="23" spans="1:8" ht="15.75" customHeight="1" x14ac:dyDescent="0.4">
      <c r="B23" s="138" t="s">
        <v>252</v>
      </c>
      <c r="C23" s="177" t="e">
        <f>Fin_Analysis!I80</f>
        <v>#VALUE!</v>
      </c>
      <c r="F23" s="141" t="s">
        <v>196</v>
      </c>
      <c r="G23" s="183" t="e">
        <f>G3/(Data!C37*Data!C4/Common_Shares*Exchange_Rate)</f>
        <v>#DIV/0!</v>
      </c>
    </row>
    <row r="24" spans="1:8" ht="15.75" customHeight="1" x14ac:dyDescent="0.4">
      <c r="B24" s="138" t="s">
        <v>177</v>
      </c>
      <c r="C24" s="177" t="e">
        <f>Fin_Analysis!I81</f>
        <v>#VALUE!</v>
      </c>
      <c r="F24" s="141" t="s">
        <v>181</v>
      </c>
      <c r="G24" s="184" t="e">
        <f>(Fin_Analysis!H86*G7)/G3</f>
        <v>#VALUE!</v>
      </c>
    </row>
    <row r="25" spans="1:8" ht="15.75" customHeight="1" x14ac:dyDescent="0.4">
      <c r="B25" s="138" t="s">
        <v>200</v>
      </c>
      <c r="C25" s="177" t="e">
        <f>Fin_Analysis!I82</f>
        <v>#VALUE!</v>
      </c>
      <c r="F25" s="141" t="s">
        <v>180</v>
      </c>
      <c r="G25" s="177" t="e">
        <f>Fin_Analysis!I88</f>
        <v>#VALUE!</v>
      </c>
    </row>
    <row r="26" spans="1:8" ht="15.75" customHeight="1" x14ac:dyDescent="0.4">
      <c r="B26" s="139" t="s">
        <v>179</v>
      </c>
      <c r="C26" s="177" t="e">
        <f>Fin_Analysis!I83</f>
        <v>#VALUE!</v>
      </c>
      <c r="F26" s="142" t="s">
        <v>202</v>
      </c>
      <c r="G26" s="184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172</v>
      </c>
      <c r="D28" s="43" t="s">
        <v>173</v>
      </c>
      <c r="E28" s="58"/>
      <c r="F28" s="53" t="s">
        <v>262</v>
      </c>
      <c r="G28" s="248" t="s">
        <v>265</v>
      </c>
      <c r="H28" s="248"/>
    </row>
    <row r="29" spans="1:8" ht="15.75" customHeight="1" x14ac:dyDescent="0.4">
      <c r="B29" s="87" t="s">
        <v>174</v>
      </c>
      <c r="C29" s="131" t="e">
        <f>IF(Fin_Analysis!C108="Profit",Fin_Analysis!E100,IF(Fin_Analysis!C108="Dividend",Fin_Analysis!D103,Fin_Analysis!D106))</f>
        <v>#VALUE!</v>
      </c>
      <c r="D29" s="130" t="e">
        <f>IF(Fin_Analysis!C108="Profit",Fin_Analysis!I100,IF(Fin_Analysis!C108="Dividend",Fin_Analysis!I103,Fin_Analysis!I106))</f>
        <v>#VALUE!</v>
      </c>
      <c r="E29" s="87"/>
      <c r="F29" s="132" t="e">
        <f>IF(Fin_Analysis!C108="Profit",Fin_Analysis!F100,IF(Fin_Analysis!C108="Dividend",Fin_Analysis!F103,Fin_Analysis!F106))</f>
        <v>#VALUE!</v>
      </c>
      <c r="G29" s="249" t="e">
        <f>IF(Fin_Analysis!C108="Profit",Fin_Analysis!E100,IF(Fin_Analysis!C108="Dividend",Fin_Analysis!E103,Fin_Analysis!E106))</f>
        <v>#VALUE!</v>
      </c>
      <c r="H29" s="249"/>
    </row>
    <row r="30" spans="1:8" ht="15.75" customHeight="1" x14ac:dyDescent="0.4"/>
    <row r="31" spans="1:8" ht="15.75" customHeight="1" x14ac:dyDescent="0.4">
      <c r="A31" s="5"/>
      <c r="B31" s="6" t="s">
        <v>240</v>
      </c>
      <c r="C31"/>
    </row>
    <row r="32" spans="1:8" ht="15.75" customHeight="1" x14ac:dyDescent="0.4">
      <c r="A32"/>
      <c r="B32" s="203" t="s">
        <v>241</v>
      </c>
      <c r="C32" s="241"/>
    </row>
    <row r="33" spans="1:3" ht="15.75" customHeight="1" x14ac:dyDescent="0.4">
      <c r="A33"/>
      <c r="B33" s="20" t="s">
        <v>242</v>
      </c>
      <c r="C33" s="242" t="s">
        <v>253</v>
      </c>
    </row>
    <row r="34" spans="1:3" ht="15.75" customHeight="1" x14ac:dyDescent="0.4">
      <c r="A34"/>
      <c r="B34" s="19" t="s">
        <v>244</v>
      </c>
      <c r="C34" s="243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203" t="s">
        <v>245</v>
      </c>
      <c r="C35" s="241"/>
    </row>
    <row r="36" spans="1:3" ht="15.75" customHeight="1" x14ac:dyDescent="0.4">
      <c r="A36"/>
      <c r="B36" s="20" t="s">
        <v>267</v>
      </c>
      <c r="C36" s="242" t="s">
        <v>254</v>
      </c>
    </row>
    <row r="37" spans="1:3" ht="15.75" customHeight="1" x14ac:dyDescent="0.4">
      <c r="A37"/>
      <c r="B37" s="20" t="s">
        <v>268</v>
      </c>
      <c r="C37" s="242" t="s">
        <v>256</v>
      </c>
    </row>
    <row r="38" spans="1:3" ht="15.75" customHeight="1" x14ac:dyDescent="0.4">
      <c r="A38"/>
      <c r="B38" s="203" t="s">
        <v>246</v>
      </c>
      <c r="C38" s="241"/>
    </row>
    <row r="39" spans="1:3" ht="15.75" customHeight="1" x14ac:dyDescent="0.4">
      <c r="A39"/>
      <c r="B39" s="19" t="s">
        <v>247</v>
      </c>
      <c r="C39" s="242" t="s">
        <v>254</v>
      </c>
    </row>
    <row r="40" spans="1:3" ht="15.75" customHeight="1" x14ac:dyDescent="0.4">
      <c r="A40"/>
      <c r="B40" s="1" t="s">
        <v>255</v>
      </c>
      <c r="C40" s="242" t="s">
        <v>243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248</v>
      </c>
      <c r="C42"/>
    </row>
    <row r="43" spans="1:3" ht="65.650000000000006" x14ac:dyDescent="0.4">
      <c r="A43"/>
      <c r="B43" s="244" t="s">
        <v>249</v>
      </c>
      <c r="C43" s="245" t="s">
        <v>250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C39" sqref="C3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208</v>
      </c>
      <c r="F2" s="120" t="s">
        <v>211</v>
      </c>
      <c r="G2" s="151" t="s">
        <v>212</v>
      </c>
      <c r="H2" s="150" t="s">
        <v>213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209</v>
      </c>
      <c r="F3" s="85" t="str">
        <f>L12</f>
        <v/>
      </c>
      <c r="G3" s="85" t="e">
        <f>C12</f>
        <v>#VALUE!</v>
      </c>
      <c r="H3" s="85">
        <v>10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210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138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 t="str">
        <f>IF(Inputs!C19=""," ",Inputs!C19)</f>
        <v xml:space="preserve"> </v>
      </c>
      <c r="D6" s="209" t="str">
        <f>IF(Inputs!D19="","",Inputs!D19)</f>
        <v/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8" t="str">
        <f>IF(Inputs!C20="","",Inputs!C20)</f>
        <v/>
      </c>
      <c r="D8" s="208" t="str">
        <f>IF(Inputs!D20="","",Inputs!D20)</f>
        <v/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103</v>
      </c>
      <c r="C9" s="154" t="e">
        <f t="shared" ref="C9:M9" si="2">IF(C6="","",(C6-C8))</f>
        <v>#VALUE!</v>
      </c>
      <c r="D9" s="154" t="str">
        <f t="shared" si="2"/>
        <v/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8" t="str">
        <f>IF(Inputs!C21="","",Inputs!C21)</f>
        <v/>
      </c>
      <c r="D10" s="208" t="str">
        <f>IF(Inputs!D21="","",Inputs!D21)</f>
        <v/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7" t="s">
        <v>107</v>
      </c>
      <c r="C11" s="208" t="str">
        <f>IF(Inputs!C22="","",Inputs!C22)</f>
        <v/>
      </c>
      <c r="D11" s="208" t="str">
        <f>IF(Inputs!D22="","",Inputs!D22)</f>
        <v/>
      </c>
      <c r="E11" s="208" t="str">
        <f>IF(Inputs!E22="","",Inputs!E22)</f>
        <v/>
      </c>
      <c r="F11" s="208" t="str">
        <f>IF(Inputs!F22="","",Inputs!F22)</f>
        <v/>
      </c>
      <c r="G11" s="208" t="str">
        <f>IF(Inputs!G22="","",Inputs!G22)</f>
        <v/>
      </c>
      <c r="H11" s="208" t="str">
        <f>IF(Inputs!H22="","",Inputs!H22)</f>
        <v/>
      </c>
      <c r="I11" s="208" t="str">
        <f>IF(Inputs!I22="","",Inputs!I22)</f>
        <v/>
      </c>
      <c r="J11" s="208" t="str">
        <f>IF(Inputs!J22="","",Inputs!J22)</f>
        <v/>
      </c>
      <c r="K11" s="208" t="str">
        <f>IF(Inputs!K22="","",Inputs!K22)</f>
        <v/>
      </c>
      <c r="L11" s="208" t="str">
        <f>IF(Inputs!L22="","",Inputs!L22)</f>
        <v/>
      </c>
      <c r="M11" s="208" t="str">
        <f>IF(Inputs!M22="","",Inputs!M22)</f>
        <v/>
      </c>
      <c r="N11" s="87"/>
    </row>
    <row r="12" spans="1:14" ht="15.75" customHeight="1" x14ac:dyDescent="0.4">
      <c r="A12" s="4"/>
      <c r="B12" s="98" t="s">
        <v>258</v>
      </c>
      <c r="C12" s="154" t="e">
        <f>IF(C6="","",(C9-C10-MAX(C11,0)))</f>
        <v>#VALUE!</v>
      </c>
      <c r="D12" s="154" t="str">
        <f t="shared" ref="D12:M12" si="3">IF(D6="","",(D9-D10-MAX(D11,0)))</f>
        <v/>
      </c>
      <c r="E12" s="154" t="str">
        <f t="shared" si="3"/>
        <v/>
      </c>
      <c r="F12" s="154" t="str">
        <f t="shared" si="3"/>
        <v/>
      </c>
      <c r="G12" s="154" t="str">
        <f t="shared" si="3"/>
        <v/>
      </c>
      <c r="H12" s="154" t="str">
        <f t="shared" si="3"/>
        <v/>
      </c>
      <c r="I12" s="154" t="str">
        <f t="shared" si="3"/>
        <v/>
      </c>
      <c r="J12" s="154" t="str">
        <f t="shared" si="3"/>
        <v/>
      </c>
      <c r="K12" s="154" t="str">
        <f t="shared" si="3"/>
        <v/>
      </c>
      <c r="L12" s="154" t="str">
        <f t="shared" si="3"/>
        <v/>
      </c>
      <c r="M12" s="154" t="str">
        <f t="shared" si="3"/>
        <v/>
      </c>
      <c r="N12" s="87"/>
    </row>
    <row r="13" spans="1:14" ht="15.75" customHeight="1" x14ac:dyDescent="0.4">
      <c r="A13" s="4"/>
      <c r="B13" s="97" t="s">
        <v>125</v>
      </c>
      <c r="C13" s="208" t="str">
        <f>IF(Inputs!C23="","",Inputs!C23)</f>
        <v/>
      </c>
      <c r="D13" s="208" t="str">
        <f>IF(Inputs!D23="","",Inputs!D23)</f>
        <v/>
      </c>
      <c r="E13" s="208" t="str">
        <f>IF(Inputs!E23="","",Inputs!E23)</f>
        <v/>
      </c>
      <c r="F13" s="208" t="str">
        <f>IF(Inputs!F23="","",Inputs!F23)</f>
        <v/>
      </c>
      <c r="G13" s="208" t="str">
        <f>IF(Inputs!G23="","",Inputs!G23)</f>
        <v/>
      </c>
      <c r="H13" s="208" t="str">
        <f>IF(Inputs!H23="","",Inputs!H23)</f>
        <v/>
      </c>
      <c r="I13" s="208" t="str">
        <f>IF(Inputs!I23="","",Inputs!I23)</f>
        <v/>
      </c>
      <c r="J13" s="208" t="str">
        <f>IF(Inputs!J23="","",Inputs!J23)</f>
        <v/>
      </c>
      <c r="K13" s="208" t="str">
        <f>IF(Inputs!K23="","",Inputs!K23)</f>
        <v/>
      </c>
      <c r="L13" s="208" t="str">
        <f>IF(Inputs!L23="","",Inputs!L23)</f>
        <v/>
      </c>
      <c r="M13" s="208" t="str">
        <f>IF(Inputs!M23="","",Inputs!M23)</f>
        <v/>
      </c>
      <c r="N13" s="87"/>
    </row>
    <row r="14" spans="1:14" ht="15.75" customHeight="1" x14ac:dyDescent="0.4">
      <c r="A14" s="4"/>
      <c r="B14" s="99" t="s">
        <v>111</v>
      </c>
      <c r="C14" s="208" t="str">
        <f>IF(Inputs!C24="","",Inputs!C24)</f>
        <v/>
      </c>
      <c r="D14" s="208" t="str">
        <f>IF(Inputs!D24="","",Inputs!D24)</f>
        <v/>
      </c>
      <c r="E14" s="208" t="str">
        <f>IF(Inputs!E24="","",Inputs!E24)</f>
        <v/>
      </c>
      <c r="F14" s="208" t="str">
        <f>IF(Inputs!F24="","",Inputs!F24)</f>
        <v/>
      </c>
      <c r="G14" s="208" t="str">
        <f>IF(Inputs!G24="","",Inputs!G24)</f>
        <v/>
      </c>
      <c r="H14" s="208" t="str">
        <f>IF(Inputs!H24="","",Inputs!H24)</f>
        <v/>
      </c>
      <c r="I14" s="208" t="str">
        <f>IF(Inputs!I24="","",Inputs!I24)</f>
        <v/>
      </c>
      <c r="J14" s="208" t="str">
        <f>IF(Inputs!J24="","",Inputs!J24)</f>
        <v/>
      </c>
      <c r="K14" s="208" t="str">
        <f>IF(Inputs!K24="","",Inputs!K24)</f>
        <v/>
      </c>
      <c r="L14" s="208" t="str">
        <f>IF(Inputs!L24="","",Inputs!L24)</f>
        <v/>
      </c>
      <c r="M14" s="208" t="str">
        <f>IF(Inputs!M24="","",Inputs!M24)</f>
        <v/>
      </c>
      <c r="N14" s="87"/>
    </row>
    <row r="15" spans="1:14" ht="15.75" customHeight="1" x14ac:dyDescent="0.4">
      <c r="A15" s="4"/>
      <c r="B15" s="236" t="s">
        <v>263</v>
      </c>
      <c r="C15" s="237" t="e">
        <f>IF(C6="","",C12-MAX(C13,0)-MAX(C14,0)/(1-Fin_Analysis!$I$84))</f>
        <v>#VALUE!</v>
      </c>
      <c r="D15" s="237" t="str">
        <f>IF(D6="","",D12-MAX(D13,0)-MAX(D14,0)/(1-Fin_Analysis!$I$84))</f>
        <v/>
      </c>
      <c r="E15" s="237" t="str">
        <f>IF(E6="","",E12-MAX(E13,0)-MAX(E14,0)/(1-Fin_Analysis!$I$84))</f>
        <v/>
      </c>
      <c r="F15" s="237" t="str">
        <f>IF(F6="","",F12-MAX(F13,0)-MAX(F14,0)/(1-Fin_Analysis!$I$84))</f>
        <v/>
      </c>
      <c r="G15" s="237" t="str">
        <f>IF(G6="","",G12-MAX(G13,0)-MAX(G14,0)/(1-Fin_Analysis!$I$84))</f>
        <v/>
      </c>
      <c r="H15" s="237" t="str">
        <f>IF(H6="","",H12-MAX(H13,0)-MAX(H14,0)/(1-Fin_Analysis!$I$84))</f>
        <v/>
      </c>
      <c r="I15" s="237" t="str">
        <f>IF(I6="","",I12-MAX(I13,0)-MAX(I14,0)/(1-Fin_Analysis!$I$84))</f>
        <v/>
      </c>
      <c r="J15" s="237" t="str">
        <f>IF(J6="","",J12-MAX(J13,0)-MAX(J14,0)/(1-Fin_Analysis!$I$84))</f>
        <v/>
      </c>
      <c r="K15" s="237" t="str">
        <f>IF(K6="","",K12-MAX(K13,0)-MAX(K14,0)/(1-Fin_Analysis!$I$84))</f>
        <v/>
      </c>
      <c r="L15" s="237" t="str">
        <f>IF(L6="","",L12-MAX(L13,0)-MAX(L14,0)/(1-Fin_Analysis!$I$84))</f>
        <v/>
      </c>
      <c r="M15" s="237" t="str">
        <f>IF(M6="","",M12-MAX(M13,0)-MAX(M14,0)/(1-Fin_Analysis!$I$84))</f>
        <v/>
      </c>
      <c r="N15" s="87"/>
    </row>
    <row r="16" spans="1:14" ht="15.75" customHeight="1" x14ac:dyDescent="0.4">
      <c r="A16" s="4"/>
      <c r="B16" s="247" t="s">
        <v>264</v>
      </c>
      <c r="C16" s="238" t="str">
        <f>IF(D15="","",IF(ABS(C15+D15)=ABS(C15)+ABS(D15),IF(C15&lt;0,-1,1)*(C15-D15)/D15,"Turn"))</f>
        <v/>
      </c>
      <c r="D16" s="238" t="str">
        <f t="shared" ref="D16:M16" si="4">IF(E15="","",IF(ABS(D15+E15)=ABS(D15)+ABS(E15),IF(D15&lt;0,-1,1)*(D15-E15)/E15,"Turn"))</f>
        <v/>
      </c>
      <c r="E16" s="238" t="str">
        <f t="shared" si="4"/>
        <v/>
      </c>
      <c r="F16" s="238" t="str">
        <f t="shared" si="4"/>
        <v/>
      </c>
      <c r="G16" s="238" t="str">
        <f t="shared" si="4"/>
        <v/>
      </c>
      <c r="H16" s="238" t="str">
        <f t="shared" si="4"/>
        <v/>
      </c>
      <c r="I16" s="238" t="str">
        <f t="shared" si="4"/>
        <v/>
      </c>
      <c r="J16" s="238" t="str">
        <f t="shared" si="4"/>
        <v/>
      </c>
      <c r="K16" s="238" t="str">
        <f t="shared" si="4"/>
        <v/>
      </c>
      <c r="L16" s="238" t="str">
        <f t="shared" si="4"/>
        <v/>
      </c>
      <c r="M16" s="238" t="str">
        <f t="shared" si="4"/>
        <v/>
      </c>
      <c r="N16" s="87"/>
    </row>
    <row r="17" spans="1:14" ht="15.75" customHeight="1" x14ac:dyDescent="0.4">
      <c r="A17" s="4"/>
      <c r="B17" s="94" t="s">
        <v>99</v>
      </c>
      <c r="C17" s="155" t="str">
        <f t="shared" ref="C17:M17" si="5">IF(OR(C6="",C18=""),"",C18/C6)</f>
        <v/>
      </c>
      <c r="D17" s="155" t="str">
        <f t="shared" si="5"/>
        <v/>
      </c>
      <c r="E17" s="155" t="str">
        <f t="shared" si="5"/>
        <v/>
      </c>
      <c r="F17" s="155" t="str">
        <f t="shared" si="5"/>
        <v/>
      </c>
      <c r="G17" s="155" t="str">
        <f t="shared" si="5"/>
        <v/>
      </c>
      <c r="H17" s="155" t="str">
        <f t="shared" si="5"/>
        <v/>
      </c>
      <c r="I17" s="155" t="str">
        <f t="shared" si="5"/>
        <v/>
      </c>
      <c r="J17" s="155" t="str">
        <f t="shared" si="5"/>
        <v/>
      </c>
      <c r="K17" s="155" t="str">
        <f t="shared" si="5"/>
        <v/>
      </c>
      <c r="L17" s="155" t="str">
        <f t="shared" si="5"/>
        <v/>
      </c>
      <c r="M17" s="155" t="str">
        <f t="shared" si="5"/>
        <v/>
      </c>
      <c r="N17" s="87"/>
    </row>
    <row r="18" spans="1:14" ht="15.75" customHeight="1" x14ac:dyDescent="0.4">
      <c r="A18" s="4"/>
      <c r="B18" s="97" t="s">
        <v>105</v>
      </c>
      <c r="C18" s="208" t="str">
        <f>IF(Inputs!C26="","",Inputs!C26)</f>
        <v/>
      </c>
      <c r="D18" s="208" t="str">
        <f>IF(Inputs!D26="","",Inputs!D26)</f>
        <v/>
      </c>
      <c r="E18" s="208" t="str">
        <f>IF(Inputs!E26="","",Inputs!E26)</f>
        <v/>
      </c>
      <c r="F18" s="208" t="str">
        <f>IF(Inputs!F26="","",Inputs!F26)</f>
        <v/>
      </c>
      <c r="G18" s="208" t="str">
        <f>IF(Inputs!G26="","",Inputs!G26)</f>
        <v/>
      </c>
      <c r="H18" s="208" t="str">
        <f>IF(Inputs!H26="","",Inputs!H26)</f>
        <v/>
      </c>
      <c r="I18" s="208" t="str">
        <f>IF(Inputs!I26="","",Inputs!I26)</f>
        <v/>
      </c>
      <c r="J18" s="208" t="str">
        <f>IF(Inputs!J26="","",Inputs!J26)</f>
        <v/>
      </c>
      <c r="K18" s="208" t="str">
        <f>IF(Inputs!K26="","",Inputs!K26)</f>
        <v/>
      </c>
      <c r="L18" s="208" t="str">
        <f>IF(Inputs!L26="","",Inputs!L26)</f>
        <v/>
      </c>
      <c r="M18" s="208" t="str">
        <f>IF(Inputs!M26="","",Inputs!M26)</f>
        <v/>
      </c>
      <c r="N18" s="87"/>
    </row>
    <row r="19" spans="1:14" ht="15.75" customHeight="1" x14ac:dyDescent="0.4">
      <c r="A19" s="4"/>
      <c r="B19" s="97" t="s">
        <v>260</v>
      </c>
      <c r="C19" s="155" t="e">
        <f t="shared" ref="C19:M19" si="6">IF(C6="","",MAX(C20,0)/C6)</f>
        <v>#VALUE!</v>
      </c>
      <c r="D19" s="155" t="str">
        <f t="shared" si="6"/>
        <v/>
      </c>
      <c r="E19" s="155" t="str">
        <f t="shared" si="6"/>
        <v/>
      </c>
      <c r="F19" s="155" t="str">
        <f t="shared" si="6"/>
        <v/>
      </c>
      <c r="G19" s="155" t="str">
        <f t="shared" si="6"/>
        <v/>
      </c>
      <c r="H19" s="155" t="str">
        <f t="shared" si="6"/>
        <v/>
      </c>
      <c r="I19" s="155" t="str">
        <f t="shared" si="6"/>
        <v/>
      </c>
      <c r="J19" s="155" t="str">
        <f t="shared" si="6"/>
        <v/>
      </c>
      <c r="K19" s="155" t="str">
        <f t="shared" si="6"/>
        <v/>
      </c>
      <c r="L19" s="155" t="str">
        <f t="shared" si="6"/>
        <v/>
      </c>
      <c r="M19" s="155" t="str">
        <f t="shared" si="6"/>
        <v/>
      </c>
      <c r="N19" s="87"/>
    </row>
    <row r="20" spans="1:14" ht="15.75" customHeight="1" x14ac:dyDescent="0.4">
      <c r="A20" s="4"/>
      <c r="B20" s="97" t="s">
        <v>108</v>
      </c>
      <c r="C20" s="208" t="str">
        <f>IF(Inputs!C27="","",Inputs!C27)</f>
        <v/>
      </c>
      <c r="D20" s="208" t="str">
        <f>IF(Inputs!D27="","",Inputs!D27)</f>
        <v/>
      </c>
      <c r="E20" s="208" t="str">
        <f>IF(Inputs!E27="","",Inputs!E27)</f>
        <v/>
      </c>
      <c r="F20" s="208" t="str">
        <f>IF(Inputs!F27="","",Inputs!F27)</f>
        <v/>
      </c>
      <c r="G20" s="208" t="str">
        <f>IF(Inputs!G27="","",Inputs!G27)</f>
        <v/>
      </c>
      <c r="H20" s="208" t="str">
        <f>IF(Inputs!H27="","",Inputs!H27)</f>
        <v/>
      </c>
      <c r="I20" s="208" t="str">
        <f>IF(Inputs!I27="","",Inputs!I27)</f>
        <v/>
      </c>
      <c r="J20" s="208" t="str">
        <f>IF(Inputs!J27="","",Inputs!J27)</f>
        <v/>
      </c>
      <c r="K20" s="208" t="str">
        <f>IF(Inputs!K27="","",Inputs!K27)</f>
        <v/>
      </c>
      <c r="L20" s="208" t="str">
        <f>IF(Inputs!L27="","",Inputs!L27)</f>
        <v/>
      </c>
      <c r="M20" s="208" t="str">
        <f>IF(Inputs!M27="","",Inputs!M27)</f>
        <v/>
      </c>
      <c r="N20" s="87"/>
    </row>
    <row r="21" spans="1:14" ht="15.75" customHeight="1" x14ac:dyDescent="0.4">
      <c r="A21" s="4"/>
      <c r="B21" s="97" t="s">
        <v>110</v>
      </c>
      <c r="C21" s="208" t="str">
        <f>IF(Inputs!C25="","",Inputs!C25)</f>
        <v/>
      </c>
      <c r="D21" s="208" t="str">
        <f>IF(Inputs!D25="","",Inputs!D25)</f>
        <v/>
      </c>
      <c r="E21" s="208" t="str">
        <f>IF(Inputs!E25="","",Inputs!E25)</f>
        <v/>
      </c>
      <c r="F21" s="208" t="str">
        <f>IF(Inputs!F25="","",Inputs!F25)</f>
        <v/>
      </c>
      <c r="G21" s="208" t="str">
        <f>IF(Inputs!G25="","",Inputs!G25)</f>
        <v/>
      </c>
      <c r="H21" s="208" t="str">
        <f>IF(Inputs!H25="","",Inputs!H25)</f>
        <v/>
      </c>
      <c r="I21" s="208" t="str">
        <f>IF(Inputs!I25="","",Inputs!I25)</f>
        <v/>
      </c>
      <c r="J21" s="208" t="str">
        <f>IF(Inputs!J25="","",Inputs!J25)</f>
        <v/>
      </c>
      <c r="K21" s="208" t="str">
        <f>IF(Inputs!K25="","",Inputs!K25)</f>
        <v/>
      </c>
      <c r="L21" s="208" t="str">
        <f>IF(Inputs!L25="","",Inputs!L25)</f>
        <v/>
      </c>
      <c r="M21" s="208" t="str">
        <f>IF(Inputs!M25="","",Inputs!M25)</f>
        <v/>
      </c>
      <c r="N21" s="87"/>
    </row>
    <row r="22" spans="1:14" ht="15.75" customHeight="1" x14ac:dyDescent="0.4">
      <c r="A22" s="4"/>
      <c r="B22" s="94" t="s">
        <v>112</v>
      </c>
      <c r="C22" s="77" t="e">
        <f t="shared" ref="C22:M22" si="7">IF(C6="","",C15+MAX(C18,0)-MAX(C20,0)-MAX(C21,0))</f>
        <v>#VALUE!</v>
      </c>
      <c r="D22" s="77" t="str">
        <f t="shared" si="7"/>
        <v/>
      </c>
      <c r="E22" s="77" t="str">
        <f t="shared" si="7"/>
        <v/>
      </c>
      <c r="F22" s="77" t="str">
        <f t="shared" si="7"/>
        <v/>
      </c>
      <c r="G22" s="77" t="str">
        <f t="shared" si="7"/>
        <v/>
      </c>
      <c r="H22" s="77" t="str">
        <f t="shared" si="7"/>
        <v/>
      </c>
      <c r="I22" s="77" t="str">
        <f t="shared" si="7"/>
        <v/>
      </c>
      <c r="J22" s="77" t="str">
        <f t="shared" si="7"/>
        <v/>
      </c>
      <c r="K22" s="77" t="str">
        <f t="shared" si="7"/>
        <v/>
      </c>
      <c r="L22" s="77" t="str">
        <f t="shared" si="7"/>
        <v/>
      </c>
      <c r="M22" s="77" t="str">
        <f t="shared" si="7"/>
        <v/>
      </c>
      <c r="N22" s="87"/>
    </row>
    <row r="23" spans="1:14" ht="15.75" customHeight="1" x14ac:dyDescent="0.4">
      <c r="A23" s="4"/>
      <c r="B23" s="98" t="s">
        <v>113</v>
      </c>
      <c r="C23" s="156" t="str">
        <f>IF(D22="","",IF(ABS(C22+D22)=ABS(C22)+ABS(D22),IF(C22&lt;0,-1,1)*(C22-D22)/D22,"Turn"))</f>
        <v/>
      </c>
      <c r="D23" s="156" t="str">
        <f t="shared" ref="D23:M23" si="8">IF(E22="","",IF(ABS(D22+E22)=ABS(D22)+ABS(E22),IF(D22&lt;0,-1,1)*(D22-E22)/E22,"Turn"))</f>
        <v/>
      </c>
      <c r="E23" s="156" t="str">
        <f t="shared" si="8"/>
        <v/>
      </c>
      <c r="F23" s="156" t="str">
        <f t="shared" si="8"/>
        <v/>
      </c>
      <c r="G23" s="156" t="str">
        <f t="shared" si="8"/>
        <v/>
      </c>
      <c r="H23" s="156" t="str">
        <f t="shared" si="8"/>
        <v/>
      </c>
      <c r="I23" s="156" t="str">
        <f t="shared" si="8"/>
        <v/>
      </c>
      <c r="J23" s="156" t="str">
        <f t="shared" si="8"/>
        <v/>
      </c>
      <c r="K23" s="156" t="str">
        <f t="shared" si="8"/>
        <v/>
      </c>
      <c r="L23" s="156" t="str">
        <f t="shared" si="8"/>
        <v/>
      </c>
      <c r="M23" s="156" t="str">
        <f t="shared" si="8"/>
        <v/>
      </c>
      <c r="N23" s="87"/>
    </row>
    <row r="24" spans="1:14" ht="15.75" customHeight="1" x14ac:dyDescent="0.4">
      <c r="A24" s="4"/>
      <c r="B24" s="100" t="s">
        <v>114</v>
      </c>
      <c r="C24" s="157" t="e">
        <f t="shared" ref="C24:M24" si="9">IF(C6="","",C25/C6)</f>
        <v>#VALUE!</v>
      </c>
      <c r="D24" s="157" t="str">
        <f t="shared" si="9"/>
        <v/>
      </c>
      <c r="E24" s="157" t="str">
        <f t="shared" si="9"/>
        <v/>
      </c>
      <c r="F24" s="157" t="str">
        <f t="shared" si="9"/>
        <v/>
      </c>
      <c r="G24" s="157" t="str">
        <f t="shared" si="9"/>
        <v/>
      </c>
      <c r="H24" s="157" t="str">
        <f t="shared" si="9"/>
        <v/>
      </c>
      <c r="I24" s="157" t="str">
        <f t="shared" si="9"/>
        <v/>
      </c>
      <c r="J24" s="157" t="str">
        <f t="shared" si="9"/>
        <v/>
      </c>
      <c r="K24" s="157" t="str">
        <f t="shared" si="9"/>
        <v/>
      </c>
      <c r="L24" s="157" t="str">
        <f t="shared" si="9"/>
        <v/>
      </c>
      <c r="M24" s="157" t="str">
        <f t="shared" si="9"/>
        <v/>
      </c>
      <c r="N24" s="87"/>
    </row>
    <row r="25" spans="1:14" ht="15.75" customHeight="1" x14ac:dyDescent="0.4">
      <c r="A25" s="4"/>
      <c r="B25" s="102" t="s">
        <v>115</v>
      </c>
      <c r="C25" s="158" t="e">
        <f>IF(C6="","",C22*(1-Fin_Analysis!$I$84))</f>
        <v>#VALUE!</v>
      </c>
      <c r="D25" s="77" t="str">
        <f>IF(D6="","",D22*(1-Fin_Analysis!$I$84))</f>
        <v/>
      </c>
      <c r="E25" s="77" t="str">
        <f>IF(E6="","",E22*(1-Fin_Analysis!$I$84))</f>
        <v/>
      </c>
      <c r="F25" s="77" t="str">
        <f>IF(F6="","",F22*(1-Fin_Analysis!$I$84))</f>
        <v/>
      </c>
      <c r="G25" s="77" t="str">
        <f>IF(G6="","",G22*(1-Fin_Analysis!$I$84))</f>
        <v/>
      </c>
      <c r="H25" s="77" t="str">
        <f>IF(H6="","",H22*(1-Fin_Analysis!$I$84))</f>
        <v/>
      </c>
      <c r="I25" s="77" t="str">
        <f>IF(I6="","",I22*(1-Fin_Analysis!$I$84))</f>
        <v/>
      </c>
      <c r="J25" s="77" t="str">
        <f>IF(J6="","",J22*(1-Fin_Analysis!$I$84))</f>
        <v/>
      </c>
      <c r="K25" s="77" t="str">
        <f>IF(K6="","",K22*(1-Fin_Analysis!$I$84))</f>
        <v/>
      </c>
      <c r="L25" s="77" t="str">
        <f>IF(L6="","",L22*(1-Fin_Analysis!$I$84))</f>
        <v/>
      </c>
      <c r="M25" s="77" t="str">
        <f>IF(M6="","",M22*(1-Fin_Analysis!$I$84))</f>
        <v/>
      </c>
      <c r="N25" s="87"/>
    </row>
    <row r="26" spans="1:14" ht="15.75" customHeight="1" thickBot="1" x14ac:dyDescent="0.45">
      <c r="A26" s="4"/>
      <c r="B26" s="101" t="s">
        <v>132</v>
      </c>
      <c r="C26" s="159" t="str">
        <f>IF(D25="","",IF(ABS(C25+D25)=ABS(C25)+ABS(D25),IF(C25&lt;0,-1,1)*(C25-D25)/D25,"Turn"))</f>
        <v/>
      </c>
      <c r="D26" s="159" t="str">
        <f t="shared" ref="D26:M26" si="10">IF(E25="","",IF(ABS(D25+E25)=ABS(D25)+ABS(E25),IF(D25&lt;0,-1,1)*(D25-E25)/E25,"Turn"))</f>
        <v/>
      </c>
      <c r="E26" s="159" t="str">
        <f t="shared" si="10"/>
        <v/>
      </c>
      <c r="F26" s="159" t="str">
        <f t="shared" si="10"/>
        <v/>
      </c>
      <c r="G26" s="159" t="str">
        <f t="shared" si="10"/>
        <v/>
      </c>
      <c r="H26" s="159" t="str">
        <f t="shared" si="10"/>
        <v/>
      </c>
      <c r="I26" s="159" t="str">
        <f t="shared" si="10"/>
        <v/>
      </c>
      <c r="J26" s="159" t="str">
        <f t="shared" si="10"/>
        <v/>
      </c>
      <c r="K26" s="159" t="str">
        <f t="shared" si="10"/>
        <v/>
      </c>
      <c r="L26" s="159" t="str">
        <f t="shared" si="10"/>
        <v/>
      </c>
      <c r="M26" s="159" t="str">
        <f t="shared" si="10"/>
        <v/>
      </c>
      <c r="N26" s="87"/>
    </row>
    <row r="27" spans="1:14" ht="15.75" customHeight="1" thickTop="1" x14ac:dyDescent="0.4">
      <c r="A27" s="16"/>
      <c r="B27" s="115" t="s">
        <v>139</v>
      </c>
      <c r="C27" s="48">
        <f>Fin_Analysis!D9</f>
        <v>45473</v>
      </c>
      <c r="D27" s="49">
        <f>D5</f>
        <v>44926</v>
      </c>
      <c r="E27" s="49">
        <f t="shared" ref="E27" si="11">EOMONTH(EDATE(D27,-12),0)</f>
        <v>44561</v>
      </c>
      <c r="F27" s="49">
        <f t="shared" ref="F27" si="12">EOMONTH(EDATE(E27,-12),0)</f>
        <v>44196</v>
      </c>
      <c r="G27" s="49">
        <f t="shared" ref="G27" si="13">EOMONTH(EDATE(F27,-12),0)</f>
        <v>43830</v>
      </c>
      <c r="H27" s="49">
        <f t="shared" ref="H27" si="14">EOMONTH(EDATE(G27,-12),0)</f>
        <v>43465</v>
      </c>
      <c r="I27" s="49">
        <f t="shared" ref="I27" si="15">EOMONTH(EDATE(H27,-12),0)</f>
        <v>43100</v>
      </c>
      <c r="J27" s="49">
        <f t="shared" ref="J27" si="16">EOMONTH(EDATE(I27,-12),0)</f>
        <v>42735</v>
      </c>
      <c r="K27" s="49">
        <f t="shared" ref="K27" si="17">EOMONTH(EDATE(J27,-12),0)</f>
        <v>42369</v>
      </c>
      <c r="L27" s="49">
        <f t="shared" ref="L27" si="18">EOMONTH(EDATE(K27,-12),0)</f>
        <v>42004</v>
      </c>
      <c r="M27" s="49">
        <f t="shared" ref="M27" si="19">EOMONTH(EDATE(L27,-12),0)</f>
        <v>41639</v>
      </c>
      <c r="N27" s="87"/>
    </row>
    <row r="28" spans="1:14" ht="15.75" customHeight="1" x14ac:dyDescent="0.4">
      <c r="A28" s="4"/>
      <c r="B28" s="94" t="s">
        <v>14</v>
      </c>
      <c r="C28" s="65">
        <f>IF(C37="","",C37+C32+C33)</f>
        <v>0</v>
      </c>
      <c r="D28" s="65" t="str">
        <f t="shared" ref="D28:M28" si="20">IF(D37="","",D37+D32+D33)</f>
        <v/>
      </c>
      <c r="E28" s="65" t="str">
        <f t="shared" si="20"/>
        <v/>
      </c>
      <c r="F28" s="65" t="str">
        <f t="shared" si="20"/>
        <v/>
      </c>
      <c r="G28" s="65" t="str">
        <f t="shared" si="20"/>
        <v/>
      </c>
      <c r="H28" s="65" t="str">
        <f t="shared" si="20"/>
        <v/>
      </c>
      <c r="I28" s="65" t="str">
        <f t="shared" si="20"/>
        <v/>
      </c>
      <c r="J28" s="65" t="str">
        <f t="shared" si="20"/>
        <v/>
      </c>
      <c r="K28" s="65" t="str">
        <f t="shared" si="20"/>
        <v/>
      </c>
      <c r="L28" s="65" t="str">
        <f t="shared" si="20"/>
        <v/>
      </c>
      <c r="M28" s="65" t="str">
        <f t="shared" si="20"/>
        <v/>
      </c>
      <c r="N28" s="87"/>
    </row>
    <row r="29" spans="1:14" ht="15.75" customHeight="1" x14ac:dyDescent="0.4">
      <c r="A29" s="4"/>
      <c r="B29" s="94" t="s">
        <v>15</v>
      </c>
      <c r="C29" s="65">
        <f>Fin_Analysis!C28</f>
        <v>0</v>
      </c>
      <c r="D29" s="208" t="str">
        <f>IF(Inputs!D28="","",Inputs!D28)</f>
        <v/>
      </c>
      <c r="E29" s="208" t="str">
        <f>IF(Inputs!E28="","",Inputs!E28)</f>
        <v/>
      </c>
      <c r="F29" s="208" t="str">
        <f>IF(Inputs!F28="","",Inputs!F28)</f>
        <v/>
      </c>
      <c r="G29" s="208" t="str">
        <f>IF(Inputs!G28="","",Inputs!G28)</f>
        <v/>
      </c>
      <c r="H29" s="208" t="str">
        <f>IF(Inputs!H28="","",Inputs!H28)</f>
        <v/>
      </c>
      <c r="I29" s="208" t="str">
        <f>IF(Inputs!I28="","",Inputs!I28)</f>
        <v/>
      </c>
      <c r="J29" s="208" t="str">
        <f>IF(Inputs!J28="","",Inputs!J28)</f>
        <v/>
      </c>
      <c r="K29" s="208" t="str">
        <f>IF(Inputs!K28="","",Inputs!K28)</f>
        <v/>
      </c>
      <c r="L29" s="208" t="str">
        <f>IF(Inputs!L28="","",Inputs!L28)</f>
        <v/>
      </c>
      <c r="M29" s="208" t="str">
        <f>IF(Inputs!M28="","",Inputs!M28)</f>
        <v/>
      </c>
      <c r="N29" s="87"/>
    </row>
    <row r="30" spans="1:14" ht="15.75" customHeight="1" x14ac:dyDescent="0.4">
      <c r="A30" s="4"/>
      <c r="B30" s="94" t="s">
        <v>118</v>
      </c>
      <c r="C30" s="65">
        <f>Fin_Analysis!C13</f>
        <v>0</v>
      </c>
      <c r="D30" s="208" t="str">
        <f>IF(Inputs!D29="","",Inputs!D29)</f>
        <v/>
      </c>
      <c r="E30" s="208" t="str">
        <f>IF(Inputs!E29="","",Inputs!E29)</f>
        <v/>
      </c>
      <c r="F30" s="208" t="str">
        <f>IF(Inputs!F29="","",Inputs!F29)</f>
        <v/>
      </c>
      <c r="G30" s="208" t="str">
        <f>IF(Inputs!G29="","",Inputs!G29)</f>
        <v/>
      </c>
      <c r="H30" s="208" t="str">
        <f>IF(Inputs!H29="","",Inputs!H29)</f>
        <v/>
      </c>
      <c r="I30" s="208" t="str">
        <f>IF(Inputs!I29="","",Inputs!I29)</f>
        <v/>
      </c>
      <c r="J30" s="208" t="str">
        <f>IF(Inputs!J29="","",Inputs!J29)</f>
        <v/>
      </c>
      <c r="K30" s="208" t="str">
        <f>IF(Inputs!K29="","",Inputs!K29)</f>
        <v/>
      </c>
      <c r="L30" s="208" t="str">
        <f>IF(Inputs!L29="","",Inputs!L29)</f>
        <v/>
      </c>
      <c r="M30" s="208" t="str">
        <f>IF(Inputs!M29="","",Inputs!M29)</f>
        <v/>
      </c>
      <c r="N30" s="87"/>
    </row>
    <row r="31" spans="1:14" ht="15.75" customHeight="1" x14ac:dyDescent="0.4">
      <c r="A31" s="4"/>
      <c r="B31" s="94" t="s">
        <v>153</v>
      </c>
      <c r="C31" s="65">
        <f>Fin_Analysis!C18</f>
        <v>0</v>
      </c>
      <c r="D31" s="208" t="str">
        <f>IF(Inputs!D30="","",Inputs!D30)</f>
        <v/>
      </c>
      <c r="E31" s="208" t="str">
        <f>IF(Inputs!E30="","",Inputs!E30)</f>
        <v/>
      </c>
      <c r="F31" s="208" t="str">
        <f>IF(Inputs!F30="","",Inputs!F30)</f>
        <v/>
      </c>
      <c r="G31" s="208" t="str">
        <f>IF(Inputs!G30="","",Inputs!G30)</f>
        <v/>
      </c>
      <c r="H31" s="208" t="str">
        <f>IF(Inputs!H30="","",Inputs!H30)</f>
        <v/>
      </c>
      <c r="I31" s="208" t="str">
        <f>IF(Inputs!I30="","",Inputs!I30)</f>
        <v/>
      </c>
      <c r="J31" s="208" t="str">
        <f>IF(Inputs!J30="","",Inputs!J30)</f>
        <v/>
      </c>
      <c r="K31" s="208" t="str">
        <f>IF(Inputs!K30="","",Inputs!K30)</f>
        <v/>
      </c>
      <c r="L31" s="208" t="str">
        <f>IF(Inputs!L30="","",Inputs!L30)</f>
        <v/>
      </c>
      <c r="M31" s="208" t="str">
        <f>IF(Inputs!M30="","",Inputs!M30)</f>
        <v/>
      </c>
      <c r="N31" s="87"/>
    </row>
    <row r="32" spans="1:14" ht="15.75" customHeight="1" x14ac:dyDescent="0.4">
      <c r="A32" s="4"/>
      <c r="B32" s="94" t="s">
        <v>16</v>
      </c>
      <c r="C32" s="65">
        <f>Fin_Analysis!I28</f>
        <v>0</v>
      </c>
      <c r="D32" s="208" t="str">
        <f>IF(Inputs!D31="","",Inputs!D31)</f>
        <v/>
      </c>
      <c r="E32" s="208" t="str">
        <f>IF(Inputs!E31="","",Inputs!E31)</f>
        <v/>
      </c>
      <c r="F32" s="208" t="str">
        <f>IF(Inputs!F31="","",Inputs!F31)</f>
        <v/>
      </c>
      <c r="G32" s="208" t="str">
        <f>IF(Inputs!G31="","",Inputs!G31)</f>
        <v/>
      </c>
      <c r="H32" s="208" t="str">
        <f>IF(Inputs!H31="","",Inputs!H31)</f>
        <v/>
      </c>
      <c r="I32" s="208" t="str">
        <f>IF(Inputs!I31="","",Inputs!I31)</f>
        <v/>
      </c>
      <c r="J32" s="208" t="str">
        <f>IF(Inputs!J31="","",Inputs!J31)</f>
        <v/>
      </c>
      <c r="K32" s="208" t="str">
        <f>IF(Inputs!K31="","",Inputs!K31)</f>
        <v/>
      </c>
      <c r="L32" s="208" t="str">
        <f>IF(Inputs!L31="","",Inputs!L31)</f>
        <v/>
      </c>
      <c r="M32" s="208" t="str">
        <f>IF(Inputs!M31="","",Inputs!M31)</f>
        <v/>
      </c>
      <c r="N32" s="87"/>
    </row>
    <row r="33" spans="1:14" ht="15.75" customHeight="1" x14ac:dyDescent="0.4">
      <c r="A33" s="4"/>
      <c r="B33" s="94" t="s">
        <v>117</v>
      </c>
      <c r="C33" s="65">
        <f>Fin_Analysis!I48</f>
        <v>0</v>
      </c>
      <c r="D33" s="208" t="str">
        <f>IF(Inputs!D32="","",Inputs!D32)</f>
        <v/>
      </c>
      <c r="E33" s="208" t="str">
        <f>IF(Inputs!E32="","",Inputs!E32)</f>
        <v/>
      </c>
      <c r="F33" s="208" t="str">
        <f>IF(Inputs!F32="","",Inputs!F32)</f>
        <v/>
      </c>
      <c r="G33" s="208" t="str">
        <f>IF(Inputs!G32="","",Inputs!G32)</f>
        <v/>
      </c>
      <c r="H33" s="208" t="str">
        <f>IF(Inputs!H32="","",Inputs!H32)</f>
        <v/>
      </c>
      <c r="I33" s="208" t="str">
        <f>IF(Inputs!I32="","",Inputs!I32)</f>
        <v/>
      </c>
      <c r="J33" s="208" t="str">
        <f>IF(Inputs!J32="","",Inputs!J32)</f>
        <v/>
      </c>
      <c r="K33" s="208" t="str">
        <f>IF(Inputs!K32="","",Inputs!K32)</f>
        <v/>
      </c>
      <c r="L33" s="208" t="str">
        <f>IF(Inputs!L32="","",Inputs!L32)</f>
        <v/>
      </c>
      <c r="M33" s="208" t="str">
        <f>IF(Inputs!M32="","",Inputs!M32)</f>
        <v/>
      </c>
      <c r="N33" s="87"/>
    </row>
    <row r="34" spans="1:14" ht="15.5" customHeight="1" x14ac:dyDescent="0.4">
      <c r="A34" s="4"/>
      <c r="B34" s="94" t="s">
        <v>17</v>
      </c>
      <c r="C34" s="65">
        <f>Fin_Analysis!I15</f>
        <v>0</v>
      </c>
      <c r="D34" s="208" t="str">
        <f>IF(Inputs!D33="","",Inputs!D33)</f>
        <v/>
      </c>
      <c r="E34" s="208" t="str">
        <f>IF(Inputs!E33="","",Inputs!E33)</f>
        <v/>
      </c>
      <c r="F34" s="208" t="str">
        <f>IF(Inputs!F33="","",Inputs!F33)</f>
        <v/>
      </c>
      <c r="G34" s="208" t="str">
        <f>IF(Inputs!G33="","",Inputs!G33)</f>
        <v/>
      </c>
      <c r="H34" s="208" t="str">
        <f>IF(Inputs!H33="","",Inputs!H33)</f>
        <v/>
      </c>
      <c r="I34" s="208" t="str">
        <f>IF(Inputs!I33="","",Inputs!I33)</f>
        <v/>
      </c>
      <c r="J34" s="208" t="str">
        <f>IF(Inputs!J33="","",Inputs!J33)</f>
        <v/>
      </c>
      <c r="K34" s="208" t="str">
        <f>IF(Inputs!K33="","",Inputs!K33)</f>
        <v/>
      </c>
      <c r="L34" s="208" t="str">
        <f>IF(Inputs!L33="","",Inputs!L33)</f>
        <v/>
      </c>
      <c r="M34" s="208" t="str">
        <f>IF(Inputs!M33="","",Inputs!M33)</f>
        <v/>
      </c>
      <c r="N34" s="87"/>
    </row>
    <row r="35" spans="1:14" ht="15.75" customHeight="1" x14ac:dyDescent="0.4">
      <c r="A35" s="4"/>
      <c r="B35" s="94" t="s">
        <v>18</v>
      </c>
      <c r="C35" s="65">
        <f>Fin_Analysis!I34</f>
        <v>0</v>
      </c>
      <c r="D35" s="208" t="str">
        <f>IF(Inputs!D34="","",Inputs!D34)</f>
        <v/>
      </c>
      <c r="E35" s="208" t="str">
        <f>IF(Inputs!E34="","",Inputs!E34)</f>
        <v/>
      </c>
      <c r="F35" s="208" t="str">
        <f>IF(Inputs!F34="","",Inputs!F34)</f>
        <v/>
      </c>
      <c r="G35" s="208" t="str">
        <f>IF(Inputs!G34="","",Inputs!G34)</f>
        <v/>
      </c>
      <c r="H35" s="208" t="str">
        <f>IF(Inputs!H34="","",Inputs!H34)</f>
        <v/>
      </c>
      <c r="I35" s="208" t="str">
        <f>IF(Inputs!I34="","",Inputs!I34)</f>
        <v/>
      </c>
      <c r="J35" s="208" t="str">
        <f>IF(Inputs!J34="","",Inputs!J34)</f>
        <v/>
      </c>
      <c r="K35" s="208" t="str">
        <f>IF(Inputs!K34="","",Inputs!K34)</f>
        <v/>
      </c>
      <c r="L35" s="208" t="str">
        <f>IF(Inputs!L34="","",Inputs!L34)</f>
        <v/>
      </c>
      <c r="M35" s="208" t="str">
        <f>IF(Inputs!M34="","",Inputs!M34)</f>
        <v/>
      </c>
      <c r="N35" s="87"/>
    </row>
    <row r="36" spans="1:14" ht="15.75" customHeight="1" x14ac:dyDescent="0.4">
      <c r="A36" s="4"/>
      <c r="B36" s="94" t="s">
        <v>19</v>
      </c>
      <c r="C36" s="77">
        <f t="shared" ref="C36" si="21">IF(OR(C34="",C35=""),"",C34+C35)</f>
        <v>0</v>
      </c>
      <c r="D36" s="77" t="str">
        <f t="shared" ref="D36" si="22">IF(OR(D34="",D35=""),"",D34+D35)</f>
        <v/>
      </c>
      <c r="E36" s="77" t="str">
        <f t="shared" ref="E36" si="23">IF(OR(E34="",E35=""),"",E34+E35)</f>
        <v/>
      </c>
      <c r="F36" s="77" t="str">
        <f t="shared" ref="F36" si="24">IF(OR(F34="",F35=""),"",F34+F35)</f>
        <v/>
      </c>
      <c r="G36" s="77" t="str">
        <f t="shared" ref="G36" si="25">IF(OR(G34="",G35=""),"",G34+G35)</f>
        <v/>
      </c>
      <c r="H36" s="77" t="str">
        <f t="shared" ref="H36" si="26">IF(OR(H34="",H35=""),"",H34+H35)</f>
        <v/>
      </c>
      <c r="I36" s="77" t="str">
        <f t="shared" ref="I36" si="27">IF(OR(I34="",I35=""),"",I34+I35)</f>
        <v/>
      </c>
      <c r="J36" s="77" t="str">
        <f t="shared" ref="J36" si="28">IF(OR(J34="",J35=""),"",J34+J35)</f>
        <v/>
      </c>
      <c r="K36" s="77" t="str">
        <f t="shared" ref="K36" si="29">IF(OR(K34="",K35=""),"",K34+K35)</f>
        <v/>
      </c>
      <c r="L36" s="77" t="str">
        <f t="shared" ref="L36" si="30">IF(OR(L34="",L35=""),"",L34+L35)</f>
        <v/>
      </c>
      <c r="M36" s="77" t="str">
        <f t="shared" ref="M36" si="31">IF(OR(M34="",M35=""),"",M34+M35)</f>
        <v/>
      </c>
      <c r="N36" s="87"/>
    </row>
    <row r="37" spans="1:14" ht="15.75" customHeight="1" x14ac:dyDescent="0.4">
      <c r="A37" s="4"/>
      <c r="B37" s="94" t="s">
        <v>142</v>
      </c>
      <c r="C37" s="65">
        <f>Fin_Analysis!D3</f>
        <v>0</v>
      </c>
      <c r="D37" s="208" t="str">
        <f>IF(Inputs!D35="","",Inputs!D35)</f>
        <v/>
      </c>
      <c r="E37" s="208" t="str">
        <f>IF(Inputs!E35="","",Inputs!E35)</f>
        <v/>
      </c>
      <c r="F37" s="208" t="str">
        <f>IF(Inputs!F35="","",Inputs!F35)</f>
        <v/>
      </c>
      <c r="G37" s="208" t="str">
        <f>IF(Inputs!G35="","",Inputs!G35)</f>
        <v/>
      </c>
      <c r="H37" s="208" t="str">
        <f>IF(Inputs!H35="","",Inputs!H35)</f>
        <v/>
      </c>
      <c r="I37" s="208" t="str">
        <f>IF(Inputs!I35="","",Inputs!I35)</f>
        <v/>
      </c>
      <c r="J37" s="208" t="str">
        <f>IF(Inputs!J35="","",Inputs!J35)</f>
        <v/>
      </c>
      <c r="K37" s="208" t="str">
        <f>IF(Inputs!K35="","",Inputs!K35)</f>
        <v/>
      </c>
      <c r="L37" s="208" t="str">
        <f>IF(Inputs!L35="","",Inputs!L35)</f>
        <v/>
      </c>
      <c r="M37" s="208" t="str">
        <f>IF(Inputs!M35="","",Inputs!M35)</f>
        <v/>
      </c>
      <c r="N37" s="87"/>
    </row>
    <row r="38" spans="1:14" ht="15.75" customHeight="1" x14ac:dyDescent="0.4">
      <c r="A38" s="4"/>
      <c r="B38" s="94" t="s">
        <v>143</v>
      </c>
      <c r="C38" s="65">
        <f>Fin_Analysis!D4</f>
        <v>0</v>
      </c>
      <c r="D38" s="208" t="str">
        <f>IF(Inputs!D36="","",Inputs!D36)</f>
        <v/>
      </c>
      <c r="E38" s="208" t="str">
        <f>IF(Inputs!E36="","",Inputs!E36)</f>
        <v/>
      </c>
      <c r="F38" s="208" t="str">
        <f>IF(Inputs!F36="","",Inputs!F36)</f>
        <v/>
      </c>
      <c r="G38" s="208" t="str">
        <f>IF(Inputs!G36="","",Inputs!G36)</f>
        <v/>
      </c>
      <c r="H38" s="208" t="str">
        <f>IF(Inputs!H36="","",Inputs!H36)</f>
        <v/>
      </c>
      <c r="I38" s="208" t="str">
        <f>IF(Inputs!I36="","",Inputs!I36)</f>
        <v/>
      </c>
      <c r="J38" s="208" t="str">
        <f>IF(Inputs!J36="","",Inputs!J36)</f>
        <v/>
      </c>
      <c r="K38" s="208" t="str">
        <f>IF(Inputs!K36="","",Inputs!K36)</f>
        <v/>
      </c>
      <c r="L38" s="208" t="str">
        <f>IF(Inputs!L36="","",Inputs!L36)</f>
        <v/>
      </c>
      <c r="M38" s="208" t="str">
        <f>IF(Inputs!M36="","",Inputs!M36)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Fin_Analysis!C63</f>
        <v>0</v>
      </c>
      <c r="D39" s="208" t="str">
        <f>IF(Inputs!D37="","",Inputs!D37)</f>
        <v/>
      </c>
      <c r="E39" s="208" t="str">
        <f>IF(Inputs!E37="","",Inputs!E37)</f>
        <v/>
      </c>
      <c r="F39" s="208" t="str">
        <f>IF(Inputs!F37="","",Inputs!F37)</f>
        <v/>
      </c>
      <c r="G39" s="208" t="str">
        <f>IF(Inputs!G37="","",Inputs!G37)</f>
        <v/>
      </c>
      <c r="H39" s="208" t="str">
        <f>IF(Inputs!H37="","",Inputs!H37)</f>
        <v/>
      </c>
      <c r="I39" s="208" t="str">
        <f>IF(Inputs!I37="","",Inputs!I37)</f>
        <v/>
      </c>
      <c r="J39" s="208" t="str">
        <f>IF(Inputs!J37="","",Inputs!J37)</f>
        <v/>
      </c>
      <c r="K39" s="208" t="str">
        <f>IF(Inputs!K37="","",Inputs!K37)</f>
        <v/>
      </c>
      <c r="L39" s="208" t="str">
        <f>IF(Inputs!L37="","",Inputs!L37)</f>
        <v/>
      </c>
      <c r="M39" s="208" t="str">
        <f>IF(Inputs!M37="","",Inputs!M37)</f>
        <v/>
      </c>
      <c r="N39" s="87"/>
    </row>
    <row r="40" spans="1:14" ht="15.75" customHeight="1" x14ac:dyDescent="0.4">
      <c r="A40" s="4"/>
      <c r="B40" s="94" t="s">
        <v>145</v>
      </c>
      <c r="C40" s="65">
        <f>Fin_Analysis!C68</f>
        <v>0</v>
      </c>
      <c r="D40" s="65" t="str">
        <f>IF(D39="","",D28-D39)</f>
        <v/>
      </c>
      <c r="E40" s="65" t="str">
        <f t="shared" ref="E40:M40" si="32">IF(E39="","",E28-E39)</f>
        <v/>
      </c>
      <c r="F40" s="65" t="str">
        <f t="shared" si="32"/>
        <v/>
      </c>
      <c r="G40" s="65" t="str">
        <f t="shared" si="32"/>
        <v/>
      </c>
      <c r="H40" s="65" t="str">
        <f t="shared" si="32"/>
        <v/>
      </c>
      <c r="I40" s="65" t="str">
        <f t="shared" si="32"/>
        <v/>
      </c>
      <c r="J40" s="65" t="str">
        <f t="shared" si="32"/>
        <v/>
      </c>
      <c r="K40" s="65" t="str">
        <f t="shared" si="32"/>
        <v/>
      </c>
      <c r="L40" s="65" t="str">
        <f t="shared" si="32"/>
        <v/>
      </c>
      <c r="M40" s="65" t="str">
        <f t="shared" si="32"/>
        <v/>
      </c>
      <c r="N40" s="87"/>
    </row>
    <row r="41" spans="1:14" ht="15.75" customHeight="1" x14ac:dyDescent="0.4">
      <c r="A41" s="4"/>
      <c r="B41" s="98" t="s">
        <v>163</v>
      </c>
      <c r="C41" s="160" t="e">
        <f>IF(C6="","",C22/C40)</f>
        <v>#VALUE!</v>
      </c>
      <c r="D41" s="160" t="str">
        <f>IF(D40="","",D22/D40)</f>
        <v/>
      </c>
      <c r="E41" s="160" t="str">
        <f t="shared" ref="E41:M41" si="33">IF(E40="","",E22/E40)</f>
        <v/>
      </c>
      <c r="F41" s="160" t="str">
        <f t="shared" si="33"/>
        <v/>
      </c>
      <c r="G41" s="160" t="str">
        <f t="shared" si="33"/>
        <v/>
      </c>
      <c r="H41" s="160" t="str">
        <f t="shared" si="33"/>
        <v/>
      </c>
      <c r="I41" s="160" t="str">
        <f t="shared" si="33"/>
        <v/>
      </c>
      <c r="J41" s="160" t="str">
        <f t="shared" si="33"/>
        <v/>
      </c>
      <c r="K41" s="160" t="str">
        <f t="shared" si="33"/>
        <v/>
      </c>
      <c r="L41" s="160" t="str">
        <f t="shared" si="33"/>
        <v/>
      </c>
      <c r="M41" s="160" t="str">
        <f t="shared" si="33"/>
        <v/>
      </c>
      <c r="N41" s="87"/>
    </row>
    <row r="42" spans="1:14" ht="15.75" customHeight="1" x14ac:dyDescent="0.4">
      <c r="A42" s="16"/>
      <c r="B42" s="55" t="s">
        <v>128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87"/>
    </row>
    <row r="43" spans="1:14" ht="15.75" customHeight="1" x14ac:dyDescent="0.4">
      <c r="A43" s="4"/>
      <c r="B43" s="95" t="s">
        <v>98</v>
      </c>
      <c r="C43" s="161" t="e">
        <f t="shared" ref="C43:M43" si="34">IF(C6="","",C8/C6)</f>
        <v>#VALUE!</v>
      </c>
      <c r="D43" s="161" t="str">
        <f t="shared" si="34"/>
        <v/>
      </c>
      <c r="E43" s="161" t="str">
        <f t="shared" si="34"/>
        <v/>
      </c>
      <c r="F43" s="161" t="str">
        <f t="shared" si="34"/>
        <v/>
      </c>
      <c r="G43" s="161" t="str">
        <f t="shared" si="34"/>
        <v/>
      </c>
      <c r="H43" s="161" t="str">
        <f t="shared" si="34"/>
        <v/>
      </c>
      <c r="I43" s="161" t="str">
        <f t="shared" si="34"/>
        <v/>
      </c>
      <c r="J43" s="161" t="str">
        <f t="shared" si="34"/>
        <v/>
      </c>
      <c r="K43" s="161" t="str">
        <f t="shared" si="34"/>
        <v/>
      </c>
      <c r="L43" s="161" t="str">
        <f t="shared" si="34"/>
        <v/>
      </c>
      <c r="M43" s="161" t="str">
        <f t="shared" si="34"/>
        <v/>
      </c>
      <c r="N43" s="87"/>
    </row>
    <row r="44" spans="1:14" ht="15.75" customHeight="1" x14ac:dyDescent="0.4">
      <c r="A44" s="4"/>
      <c r="B44" s="94" t="s">
        <v>259</v>
      </c>
      <c r="C44" s="157" t="e">
        <f t="shared" ref="C44:M44" si="35">IF(C6="","",(C10+MAX(C11,0))/C6)</f>
        <v>#VALUE!</v>
      </c>
      <c r="D44" s="157" t="str">
        <f t="shared" si="35"/>
        <v/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261</v>
      </c>
      <c r="C45" s="157" t="e">
        <f t="shared" ref="C45:M45" si="36">IF(C6="","",(MAX(C20,0)-MAX(C18,0))/C6)</f>
        <v>#VALUE!</v>
      </c>
      <c r="D45" s="157" t="str">
        <f t="shared" si="36"/>
        <v/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109</v>
      </c>
      <c r="C46" s="157" t="e">
        <f t="shared" ref="C46:M46" si="37">IF(C6="","",MAX(C21,0)/C6)</f>
        <v>#VALUE!</v>
      </c>
      <c r="D46" s="157" t="str">
        <f t="shared" si="37"/>
        <v/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123</v>
      </c>
      <c r="C47" s="157" t="e">
        <f t="shared" ref="C47:M47" si="38">IF(C6="","",MAX(C13,0)/C6)</f>
        <v>#VALUE!</v>
      </c>
      <c r="D47" s="157" t="str">
        <f t="shared" si="38"/>
        <v/>
      </c>
      <c r="E47" s="157" t="str">
        <f t="shared" si="38"/>
        <v/>
      </c>
      <c r="F47" s="157" t="str">
        <f t="shared" si="38"/>
        <v/>
      </c>
      <c r="G47" s="157" t="str">
        <f t="shared" si="38"/>
        <v/>
      </c>
      <c r="H47" s="157" t="str">
        <f t="shared" si="38"/>
        <v/>
      </c>
      <c r="I47" s="157" t="str">
        <f t="shared" si="38"/>
        <v/>
      </c>
      <c r="J47" s="157" t="str">
        <f t="shared" si="38"/>
        <v/>
      </c>
      <c r="K47" s="157" t="str">
        <f t="shared" si="38"/>
        <v/>
      </c>
      <c r="L47" s="157" t="str">
        <f t="shared" si="38"/>
        <v/>
      </c>
      <c r="M47" s="157" t="str">
        <f t="shared" si="38"/>
        <v/>
      </c>
      <c r="N47" s="87"/>
    </row>
    <row r="48" spans="1:14" ht="15.75" customHeight="1" x14ac:dyDescent="0.4">
      <c r="A48" s="4"/>
      <c r="B48" s="94" t="s">
        <v>133</v>
      </c>
      <c r="C48" s="157" t="e">
        <f>IF(C6="","",MAX(C14,0)/(1-Fin_Analysis!$I$84)/C6)</f>
        <v>#VALUE!</v>
      </c>
      <c r="D48" s="157" t="str">
        <f>IF(D6="","",MAX(D14,0)/(1-Fin_Analysis!$I$84)/D6)</f>
        <v/>
      </c>
      <c r="E48" s="157" t="str">
        <f>IF(E6="","",MAX(E14,0)/(1-Fin_Analysis!$I$84)/E6)</f>
        <v/>
      </c>
      <c r="F48" s="157" t="str">
        <f>IF(F6="","",MAX(F14,0)/(1-Fin_Analysis!$I$84)/F6)</f>
        <v/>
      </c>
      <c r="G48" s="157" t="str">
        <f>IF(G6="","",MAX(G14,0)/(1-Fin_Analysis!$I$84)/G6)</f>
        <v/>
      </c>
      <c r="H48" s="157" t="str">
        <f>IF(H6="","",MAX(H14,0)/(1-Fin_Analysis!$I$84)/H6)</f>
        <v/>
      </c>
      <c r="I48" s="157" t="str">
        <f>IF(I6="","",MAX(I14,0)/(1-Fin_Analysis!$I$84)/I6)</f>
        <v/>
      </c>
      <c r="J48" s="157" t="str">
        <f>IF(J6="","",MAX(J14,0)/(1-Fin_Analysis!$I$84)/J6)</f>
        <v/>
      </c>
      <c r="K48" s="157" t="str">
        <f>IF(K6="","",MAX(K14,0)/(1-Fin_Analysis!$I$84)/K6)</f>
        <v/>
      </c>
      <c r="L48" s="157" t="str">
        <f>IF(L6="","",MAX(L14,0)/(1-Fin_Analysis!$I$84)/L6)</f>
        <v/>
      </c>
      <c r="M48" s="157" t="str">
        <f>IF(M6="","",MAX(M14,0)/(1-Fin_Analysis!$I$84)/M6)</f>
        <v/>
      </c>
      <c r="N48" s="87"/>
    </row>
    <row r="49" spans="1:14" ht="15.75" customHeight="1" x14ac:dyDescent="0.4">
      <c r="A49" s="4"/>
      <c r="B49" s="94" t="s">
        <v>126</v>
      </c>
      <c r="C49" s="157" t="e">
        <f t="shared" ref="C49:M49" si="39">IF(C6="","",C22/C6)</f>
        <v>#VALUE!</v>
      </c>
      <c r="D49" s="157" t="str">
        <f t="shared" si="39"/>
        <v/>
      </c>
      <c r="E49" s="157" t="str">
        <f t="shared" si="39"/>
        <v/>
      </c>
      <c r="F49" s="157" t="str">
        <f t="shared" si="39"/>
        <v/>
      </c>
      <c r="G49" s="157" t="str">
        <f t="shared" si="39"/>
        <v/>
      </c>
      <c r="H49" s="157" t="str">
        <f t="shared" si="39"/>
        <v/>
      </c>
      <c r="I49" s="157" t="str">
        <f t="shared" si="39"/>
        <v/>
      </c>
      <c r="J49" s="157" t="str">
        <f t="shared" si="39"/>
        <v/>
      </c>
      <c r="K49" s="157" t="str">
        <f t="shared" si="39"/>
        <v/>
      </c>
      <c r="L49" s="157" t="str">
        <f t="shared" si="39"/>
        <v/>
      </c>
      <c r="M49" s="157" t="str">
        <f t="shared" si="39"/>
        <v/>
      </c>
      <c r="N49" s="87"/>
    </row>
    <row r="50" spans="1:14" ht="15.75" customHeight="1" x14ac:dyDescent="0.4">
      <c r="A50" s="16"/>
      <c r="B50" s="103" t="s">
        <v>154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87"/>
    </row>
    <row r="51" spans="1:14" ht="15.75" customHeight="1" x14ac:dyDescent="0.4">
      <c r="A51" s="4"/>
      <c r="B51" s="95" t="s">
        <v>151</v>
      </c>
      <c r="C51" s="161" t="e">
        <f t="shared" ref="C51:M51" si="40">IF(C30="","",C30/C6)</f>
        <v>#VALUE!</v>
      </c>
      <c r="D51" s="161" t="str">
        <f t="shared" si="40"/>
        <v/>
      </c>
      <c r="E51" s="161" t="str">
        <f t="shared" si="40"/>
        <v/>
      </c>
      <c r="F51" s="161" t="str">
        <f t="shared" si="40"/>
        <v/>
      </c>
      <c r="G51" s="161" t="str">
        <f t="shared" si="40"/>
        <v/>
      </c>
      <c r="H51" s="161" t="str">
        <f t="shared" si="40"/>
        <v/>
      </c>
      <c r="I51" s="161" t="str">
        <f t="shared" si="40"/>
        <v/>
      </c>
      <c r="J51" s="161" t="str">
        <f t="shared" si="40"/>
        <v/>
      </c>
      <c r="K51" s="161" t="str">
        <f t="shared" si="40"/>
        <v/>
      </c>
      <c r="L51" s="161" t="str">
        <f t="shared" si="40"/>
        <v/>
      </c>
      <c r="M51" s="161" t="str">
        <f t="shared" si="40"/>
        <v/>
      </c>
      <c r="N51" s="87"/>
    </row>
    <row r="52" spans="1:14" ht="15.75" customHeight="1" x14ac:dyDescent="0.4">
      <c r="A52" s="4"/>
      <c r="B52" s="94" t="s">
        <v>152</v>
      </c>
      <c r="C52" s="157" t="e">
        <f t="shared" ref="C52:M52" si="41">IF(C31="","",C31/C6)</f>
        <v>#VALUE!</v>
      </c>
      <c r="D52" s="157" t="str">
        <f t="shared" si="41"/>
        <v/>
      </c>
      <c r="E52" s="157" t="str">
        <f t="shared" si="41"/>
        <v/>
      </c>
      <c r="F52" s="157" t="str">
        <f t="shared" si="41"/>
        <v/>
      </c>
      <c r="G52" s="157" t="str">
        <f t="shared" si="41"/>
        <v/>
      </c>
      <c r="H52" s="157" t="str">
        <f t="shared" si="41"/>
        <v/>
      </c>
      <c r="I52" s="157" t="str">
        <f t="shared" si="41"/>
        <v/>
      </c>
      <c r="J52" s="157" t="str">
        <f t="shared" si="41"/>
        <v/>
      </c>
      <c r="K52" s="157" t="str">
        <f t="shared" si="41"/>
        <v/>
      </c>
      <c r="L52" s="157" t="str">
        <f t="shared" si="41"/>
        <v/>
      </c>
      <c r="M52" s="157" t="str">
        <f t="shared" si="41"/>
        <v/>
      </c>
      <c r="N52" s="87"/>
    </row>
    <row r="53" spans="1:14" ht="15.75" customHeight="1" x14ac:dyDescent="0.4">
      <c r="A53" s="16"/>
      <c r="B53" s="103" t="s">
        <v>127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61" t="e">
        <f>IF(C37="","",(C28-C37)/C28)</f>
        <v>#DIV/0!</v>
      </c>
      <c r="D54" s="161" t="str">
        <f t="shared" ref="D54:M54" si="42">IF(D37="","",(D28-D37)/D28)</f>
        <v/>
      </c>
      <c r="E54" s="161" t="str">
        <f t="shared" si="42"/>
        <v/>
      </c>
      <c r="F54" s="161" t="str">
        <f t="shared" si="42"/>
        <v/>
      </c>
      <c r="G54" s="161" t="str">
        <f t="shared" si="42"/>
        <v/>
      </c>
      <c r="H54" s="161" t="str">
        <f t="shared" si="42"/>
        <v/>
      </c>
      <c r="I54" s="161" t="str">
        <f t="shared" si="42"/>
        <v/>
      </c>
      <c r="J54" s="161" t="str">
        <f t="shared" si="42"/>
        <v/>
      </c>
      <c r="K54" s="161" t="str">
        <f t="shared" si="42"/>
        <v/>
      </c>
      <c r="L54" s="161" t="str">
        <f t="shared" si="42"/>
        <v/>
      </c>
      <c r="M54" s="161" t="str">
        <f t="shared" si="42"/>
        <v/>
      </c>
    </row>
    <row r="55" spans="1:14" ht="15.75" customHeight="1" x14ac:dyDescent="0.4">
      <c r="A55" s="4"/>
      <c r="B55" s="94" t="s">
        <v>122</v>
      </c>
      <c r="C55" s="162" t="e">
        <f>IF(OR(C22="",C36=""),"",IF(C36&lt;=0,"-",C22/C36))</f>
        <v>#VALUE!</v>
      </c>
      <c r="D55" s="162" t="str">
        <f t="shared" ref="D55:M55" si="43">IF(OR(D22="",D36=""),"",IF(D36&lt;=0,"-",D22/D36))</f>
        <v/>
      </c>
      <c r="E55" s="162" t="str">
        <f t="shared" si="43"/>
        <v/>
      </c>
      <c r="F55" s="162" t="str">
        <f t="shared" si="43"/>
        <v/>
      </c>
      <c r="G55" s="162" t="str">
        <f t="shared" si="43"/>
        <v/>
      </c>
      <c r="H55" s="162" t="str">
        <f t="shared" si="43"/>
        <v/>
      </c>
      <c r="I55" s="162" t="str">
        <f t="shared" si="43"/>
        <v/>
      </c>
      <c r="J55" s="162" t="str">
        <f t="shared" si="43"/>
        <v/>
      </c>
      <c r="K55" s="162" t="str">
        <f t="shared" si="43"/>
        <v/>
      </c>
      <c r="L55" s="162" t="str">
        <f t="shared" si="43"/>
        <v/>
      </c>
      <c r="M55" s="162" t="str">
        <f t="shared" si="43"/>
        <v/>
      </c>
    </row>
    <row r="56" spans="1:14" ht="15.75" customHeight="1" x14ac:dyDescent="0.4">
      <c r="A56" s="4"/>
      <c r="B56" s="94" t="s">
        <v>124</v>
      </c>
      <c r="C56" s="157" t="e">
        <f t="shared" ref="C56:M56" si="44">IF(C22="","",IF(MAX(C13,0)&lt;=0,"-",C13/C22))</f>
        <v>#VALUE!</v>
      </c>
      <c r="D56" s="157" t="str">
        <f t="shared" si="44"/>
        <v/>
      </c>
      <c r="E56" s="157" t="str">
        <f t="shared" si="44"/>
        <v/>
      </c>
      <c r="F56" s="157" t="str">
        <f t="shared" si="44"/>
        <v/>
      </c>
      <c r="G56" s="157" t="str">
        <f t="shared" si="44"/>
        <v/>
      </c>
      <c r="H56" s="157" t="str">
        <f t="shared" si="44"/>
        <v/>
      </c>
      <c r="I56" s="157" t="str">
        <f t="shared" si="44"/>
        <v/>
      </c>
      <c r="J56" s="157" t="str">
        <f t="shared" si="44"/>
        <v/>
      </c>
      <c r="K56" s="157" t="str">
        <f t="shared" si="44"/>
        <v/>
      </c>
      <c r="L56" s="157" t="str">
        <f t="shared" si="44"/>
        <v/>
      </c>
      <c r="M56" s="157" t="str">
        <f t="shared" si="44"/>
        <v/>
      </c>
    </row>
    <row r="57" spans="1:14" ht="15.75" customHeight="1" x14ac:dyDescent="0.4">
      <c r="A57" s="4"/>
      <c r="B57" s="98" t="s">
        <v>21</v>
      </c>
      <c r="C57" s="163" t="e">
        <f t="shared" ref="C57:M57" si="45">IF(C29="","",C29/C32)</f>
        <v>#DIV/0!</v>
      </c>
      <c r="D57" s="163" t="str">
        <f t="shared" si="45"/>
        <v/>
      </c>
      <c r="E57" s="163" t="str">
        <f t="shared" si="45"/>
        <v/>
      </c>
      <c r="F57" s="163" t="str">
        <f t="shared" si="45"/>
        <v/>
      </c>
      <c r="G57" s="163" t="str">
        <f t="shared" si="45"/>
        <v/>
      </c>
      <c r="H57" s="163" t="str">
        <f t="shared" si="45"/>
        <v/>
      </c>
      <c r="I57" s="163" t="str">
        <f t="shared" si="45"/>
        <v/>
      </c>
      <c r="J57" s="163" t="str">
        <f t="shared" si="45"/>
        <v/>
      </c>
      <c r="K57" s="163" t="str">
        <f t="shared" si="45"/>
        <v/>
      </c>
      <c r="L57" s="163" t="str">
        <f t="shared" si="45"/>
        <v/>
      </c>
      <c r="M57" s="163" t="str">
        <f t="shared" si="45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4 C28:M41">
    <cfRule type="containsBlanks" dxfId="10" priority="4">
      <formula>LEN(TRIM(C6))=0</formula>
    </cfRule>
  </conditionalFormatting>
  <conditionalFormatting sqref="C26:M26">
    <cfRule type="containsBlanks" dxfId="9" priority="3">
      <formula>LEN(TRIM(C26))=0</formula>
    </cfRule>
  </conditionalFormatting>
  <conditionalFormatting sqref="D25:M25">
    <cfRule type="containsBlanks" dxfId="8" priority="2">
      <formula>LEN(TRIM(D25))=0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2" zoomScaleNormal="100" workbookViewId="0">
      <selection activeCell="H95" sqref="H9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205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140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118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164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119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121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165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120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155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9">
        <f>I15+I34</f>
        <v>0</v>
      </c>
      <c r="E56" s="257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158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144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146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156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159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157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131</v>
      </c>
      <c r="C72" s="262">
        <f>Data!C5</f>
        <v>45291</v>
      </c>
      <c r="D72" s="262"/>
      <c r="E72" s="260" t="s">
        <v>215</v>
      </c>
      <c r="F72" s="260"/>
      <c r="H72" s="260" t="s">
        <v>214</v>
      </c>
      <c r="I72" s="260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4">
      <c r="B74" s="3" t="s">
        <v>130</v>
      </c>
      <c r="C74" s="77" t="str">
        <f>Data!C6</f>
        <v xml:space="preserve"> </v>
      </c>
      <c r="D74" s="218"/>
      <c r="E74" s="205" t="str">
        <f>H74</f>
        <v xml:space="preserve"> </v>
      </c>
      <c r="F74" s="218"/>
      <c r="H74" s="205" t="str">
        <f>C74</f>
        <v xml:space="preserve"> </v>
      </c>
      <c r="I74" s="218"/>
      <c r="K74" s="24"/>
    </row>
    <row r="75" spans="1:11" ht="15" customHeight="1" x14ac:dyDescent="0.4">
      <c r="B75" s="105" t="s">
        <v>106</v>
      </c>
      <c r="C75" s="77" t="str">
        <f>Data!C8</f>
        <v/>
      </c>
      <c r="D75" s="164" t="e">
        <f>C75/$C$74</f>
        <v>#VALUE!</v>
      </c>
      <c r="E75" s="205" t="e">
        <f>E74*D75</f>
        <v>#VALUE!</v>
      </c>
      <c r="F75" s="165" t="e">
        <f>E75/E74</f>
        <v>#VALUE!</v>
      </c>
      <c r="H75" s="205" t="e">
        <f>H74*D75</f>
        <v>#VALUE!</v>
      </c>
      <c r="I75" s="165" t="e">
        <f>H75/$H$74</f>
        <v>#VALUE!</v>
      </c>
      <c r="K75" s="24"/>
    </row>
    <row r="76" spans="1:11" ht="15" customHeight="1" x14ac:dyDescent="0.4">
      <c r="B76" s="35" t="s">
        <v>96</v>
      </c>
      <c r="C76" s="166" t="e">
        <f>C74-C75</f>
        <v>#VALUE!</v>
      </c>
      <c r="D76" s="219"/>
      <c r="E76" s="167" t="e">
        <f>E74-E75</f>
        <v>#VALUE!</v>
      </c>
      <c r="F76" s="219"/>
      <c r="H76" s="167" t="e">
        <f>H74-H75</f>
        <v>#VALUE!</v>
      </c>
      <c r="I76" s="219"/>
      <c r="K76" s="24"/>
    </row>
    <row r="77" spans="1:11" ht="15" customHeight="1" x14ac:dyDescent="0.4">
      <c r="B77" s="105" t="s">
        <v>238</v>
      </c>
      <c r="C77" s="77" t="str">
        <f>Data!C10</f>
        <v/>
      </c>
      <c r="D77" s="164" t="e">
        <f>C77/$C$74</f>
        <v>#VALUE!</v>
      </c>
      <c r="E77" s="205" t="e">
        <f>E74*D77</f>
        <v>#VALUE!</v>
      </c>
      <c r="F77" s="165" t="e">
        <f>E77/E74</f>
        <v>#VALUE!</v>
      </c>
      <c r="H77" s="205" t="e">
        <f>H74*D77</f>
        <v>#VALUE!</v>
      </c>
      <c r="I77" s="165" t="e">
        <f>H77/$H$74</f>
        <v>#VALUE!</v>
      </c>
      <c r="K77" s="24"/>
    </row>
    <row r="78" spans="1:11" ht="15" customHeight="1" x14ac:dyDescent="0.4">
      <c r="B78" s="35" t="s">
        <v>257</v>
      </c>
      <c r="C78" s="166" t="e">
        <f>C76-C77</f>
        <v>#VALUE!</v>
      </c>
      <c r="D78" s="219"/>
      <c r="E78" s="167" t="e">
        <f>E76-E77</f>
        <v>#VALUE!</v>
      </c>
      <c r="F78" s="219"/>
      <c r="H78" s="167" t="e">
        <f>H76-H77</f>
        <v>#VALUE!</v>
      </c>
      <c r="I78" s="219"/>
      <c r="K78" s="24"/>
    </row>
    <row r="79" spans="1:11" ht="15" customHeight="1" x14ac:dyDescent="0.4">
      <c r="B79" s="105" t="s">
        <v>125</v>
      </c>
      <c r="C79" s="77">
        <f>MAX(Data!C13,0)</f>
        <v>0</v>
      </c>
      <c r="D79" s="164" t="e">
        <f>C79/$C$74</f>
        <v>#VALUE!</v>
      </c>
      <c r="E79" s="186" t="e">
        <f>E74*F79</f>
        <v>#VALUE!</v>
      </c>
      <c r="F79" s="165" t="e">
        <f t="shared" ref="F79:F84" si="3">I79</f>
        <v>#VALUE!</v>
      </c>
      <c r="H79" s="205" t="e">
        <f>H74*D79</f>
        <v>#VALUE!</v>
      </c>
      <c r="I79" s="165" t="e">
        <f>H79/$H$74</f>
        <v>#VALUE!</v>
      </c>
      <c r="K79" s="24"/>
    </row>
    <row r="80" spans="1:11" ht="15" customHeight="1" x14ac:dyDescent="0.4">
      <c r="B80" s="28" t="s">
        <v>239</v>
      </c>
      <c r="C80" s="77">
        <f>MAX(Data!C11,0)+MAX(Data!C20,0)-MAX(Data!C18,0)</f>
        <v>0</v>
      </c>
      <c r="D80" s="164" t="e">
        <f>C80/$C$74</f>
        <v>#VALUE!</v>
      </c>
      <c r="E80" s="205" t="e">
        <f>E74*D80</f>
        <v>#VALUE!</v>
      </c>
      <c r="F80" s="165" t="e">
        <f>E80/E74</f>
        <v>#VALUE!</v>
      </c>
      <c r="H80" s="205" t="e">
        <f>H74*D80</f>
        <v>#VALUE!</v>
      </c>
      <c r="I80" s="165" t="e">
        <f>H80/$H$74</f>
        <v>#VALUE!</v>
      </c>
      <c r="K80" s="24"/>
    </row>
    <row r="81" spans="1:11" ht="15" customHeight="1" x14ac:dyDescent="0.4">
      <c r="B81" s="28" t="s">
        <v>110</v>
      </c>
      <c r="C81" s="77">
        <f>MAX(Data!C21,0)</f>
        <v>0</v>
      </c>
      <c r="D81" s="164" t="e">
        <f>C81/$C$74</f>
        <v>#VALUE!</v>
      </c>
      <c r="E81" s="186" t="e">
        <f>E74*F81</f>
        <v>#VALUE!</v>
      </c>
      <c r="F81" s="165" t="e">
        <f t="shared" si="3"/>
        <v>#VALUE!</v>
      </c>
      <c r="H81" s="205">
        <v>0</v>
      </c>
      <c r="I81" s="165" t="e">
        <f>H81/$H$74</f>
        <v>#VALUE!</v>
      </c>
      <c r="K81" s="187" t="s">
        <v>135</v>
      </c>
    </row>
    <row r="82" spans="1:11" ht="15" customHeight="1" x14ac:dyDescent="0.4">
      <c r="B82" s="73" t="s">
        <v>178</v>
      </c>
      <c r="C82" s="77">
        <f>MAX(Data!C14,0)</f>
        <v>0</v>
      </c>
      <c r="D82" s="164" t="e">
        <f>C82/$C$74</f>
        <v>#VALUE!</v>
      </c>
      <c r="E82" s="186" t="e">
        <f>E74*F82</f>
        <v>#VALUE!</v>
      </c>
      <c r="F82" s="165" t="e">
        <f t="shared" si="3"/>
        <v>#VALUE!</v>
      </c>
      <c r="H82" s="205" t="e">
        <f>H74*D82</f>
        <v>#VALUE!</v>
      </c>
      <c r="I82" s="165" t="e">
        <f>H82/$H$74</f>
        <v>#VALUE!</v>
      </c>
      <c r="K82" s="24"/>
    </row>
    <row r="83" spans="1:11" ht="15" customHeight="1" thickBot="1" x14ac:dyDescent="0.45">
      <c r="B83" s="106" t="s">
        <v>129</v>
      </c>
      <c r="C83" s="168" t="e">
        <f>C78-C79-C80-C81-C82</f>
        <v>#VALUE!</v>
      </c>
      <c r="D83" s="169" t="e">
        <f>C83/$C$74</f>
        <v>#VALUE!</v>
      </c>
      <c r="E83" s="170" t="e">
        <f>E78-E79-E80-E81-E82</f>
        <v>#VALUE!</v>
      </c>
      <c r="F83" s="169" t="e">
        <f>E83/E74</f>
        <v>#VALUE!</v>
      </c>
      <c r="H83" s="170" t="e">
        <f>H78-H79-H80-H81-H82</f>
        <v>#VALUE!</v>
      </c>
      <c r="I83" s="169" t="e">
        <f>H83/$H$74</f>
        <v>#VALUE!</v>
      </c>
      <c r="K83" s="24"/>
    </row>
    <row r="84" spans="1:11" ht="15" customHeight="1" thickTop="1" x14ac:dyDescent="0.4">
      <c r="B84" s="28" t="s">
        <v>97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170</v>
      </c>
      <c r="C85" s="166" t="e">
        <f>C83*(1-I84)</f>
        <v>#VALUE!</v>
      </c>
      <c r="D85" s="171" t="e">
        <f>C85/$C$74</f>
        <v>#VALUE!</v>
      </c>
      <c r="E85" s="172" t="e">
        <f>E83*(1-F84)</f>
        <v>#VALUE!</v>
      </c>
      <c r="F85" s="171" t="e">
        <f>E85/E74</f>
        <v>#VALUE!</v>
      </c>
      <c r="H85" s="172" t="e">
        <f>H83*(1-I84)</f>
        <v>#VALUE!</v>
      </c>
      <c r="I85" s="171" t="e">
        <f>H85/$H$74</f>
        <v>#VALUE!</v>
      </c>
      <c r="K85" s="24"/>
    </row>
    <row r="86" spans="1:11" ht="15" customHeight="1" x14ac:dyDescent="0.4">
      <c r="B86" s="87" t="s">
        <v>166</v>
      </c>
      <c r="C86" s="173" t="e">
        <f>C85*Data!C4/Common_Shares</f>
        <v>#VALUE!</v>
      </c>
      <c r="D86" s="218"/>
      <c r="E86" s="174" t="e">
        <f>E85*Data!C4/Common_Shares</f>
        <v>#VALUE!</v>
      </c>
      <c r="F86" s="218"/>
      <c r="H86" s="174" t="e">
        <f>H85*Data!C4/Common_Shares</f>
        <v>#VALUE!</v>
      </c>
      <c r="I86" s="218"/>
      <c r="K86" s="24"/>
    </row>
    <row r="87" spans="1:11" ht="15" customHeight="1" x14ac:dyDescent="0.4">
      <c r="B87" s="87" t="s">
        <v>217</v>
      </c>
      <c r="C87" s="165" t="e">
        <f>C86*Exchange_Rate/Dashboard!G3</f>
        <v>#VALUE!</v>
      </c>
      <c r="D87" s="218"/>
      <c r="E87" s="239" t="e">
        <f>E86*Exchange_Rate/Dashboard!G3</f>
        <v>#VALUE!</v>
      </c>
      <c r="F87" s="218"/>
      <c r="H87" s="239" t="e">
        <f>H86*Exchange_Rate/Dashboard!G3</f>
        <v>#VALUE!</v>
      </c>
      <c r="I87" s="218"/>
      <c r="K87" s="24"/>
    </row>
    <row r="88" spans="1:11" ht="15" customHeight="1" x14ac:dyDescent="0.4">
      <c r="B88" s="86" t="s">
        <v>216</v>
      </c>
      <c r="C88" s="175">
        <f>Inputs!F5</f>
        <v>0</v>
      </c>
      <c r="D88" s="171" t="e">
        <f>C88/C86</f>
        <v>#VALUE!</v>
      </c>
      <c r="E88" s="204">
        <f>H88</f>
        <v>0</v>
      </c>
      <c r="F88" s="171" t="e">
        <f>E88/E86</f>
        <v>#VALUE!</v>
      </c>
      <c r="H88" s="176">
        <f>Inputs!F6</f>
        <v>0</v>
      </c>
      <c r="I88" s="171" t="e">
        <f>H88/H86</f>
        <v>#VALUE!</v>
      </c>
      <c r="K88" s="24"/>
    </row>
    <row r="89" spans="1:11" ht="15" customHeight="1" x14ac:dyDescent="0.4">
      <c r="B89" s="87" t="s">
        <v>234</v>
      </c>
      <c r="C89" s="165">
        <f>C88*Exchange_Rate/Dashboard!G3</f>
        <v>0</v>
      </c>
      <c r="D89" s="218"/>
      <c r="E89" s="165">
        <f>E88*Exchange_Rate/Dashboard!G3</f>
        <v>0</v>
      </c>
      <c r="F89" s="218"/>
      <c r="H89" s="165">
        <f>H88*Exchange_Rate/Dashboard!G3</f>
        <v>0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160</v>
      </c>
      <c r="C91" s="21"/>
      <c r="K91" s="50" t="s">
        <v>137</v>
      </c>
    </row>
    <row r="92" spans="1:11" ht="15" customHeight="1" x14ac:dyDescent="0.4">
      <c r="B92" s="10" t="s">
        <v>161</v>
      </c>
      <c r="C92" s="207" t="str">
        <f>Inputs!C15</f>
        <v>CN</v>
      </c>
      <c r="D92" s="10" t="s">
        <v>162</v>
      </c>
      <c r="E92" s="260" t="s">
        <v>215</v>
      </c>
      <c r="F92" s="260"/>
      <c r="G92" s="87"/>
      <c r="H92" s="260" t="s">
        <v>214</v>
      </c>
      <c r="I92" s="260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218</v>
      </c>
      <c r="F93" s="146" t="e">
        <f>FV(E87,D93,0,-(E86/C93))</f>
        <v>#VALUE!</v>
      </c>
      <c r="H93" s="87" t="s">
        <v>218</v>
      </c>
      <c r="I93" s="146" t="e">
        <f>FV(H87,D93,0,-(H86/C93))</f>
        <v>#VALUE!</v>
      </c>
      <c r="K93" s="24"/>
    </row>
    <row r="94" spans="1:11" ht="15" customHeight="1" x14ac:dyDescent="0.4">
      <c r="B94" s="1" t="s">
        <v>220</v>
      </c>
      <c r="C94" s="188">
        <f>Dashboard!G20</f>
        <v>0.15</v>
      </c>
      <c r="D94" s="147"/>
      <c r="E94" s="87" t="s">
        <v>219</v>
      </c>
      <c r="F94" s="146">
        <f>FV(E89,D93,0,-(E88/C93))</f>
        <v>0</v>
      </c>
      <c r="H94" s="87" t="s">
        <v>219</v>
      </c>
      <c r="I94" s="146">
        <f>FV(H89,D93,0,-(H88/C93))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D96" s="125" t="s">
        <v>223</v>
      </c>
      <c r="E96" s="189" t="str">
        <f>E72</f>
        <v>Pessimistic Case</v>
      </c>
      <c r="F96" s="246" t="s">
        <v>262</v>
      </c>
      <c r="H96" s="189" t="str">
        <f>H72</f>
        <v>Base Case</v>
      </c>
      <c r="I96" s="125" t="s">
        <v>222</v>
      </c>
      <c r="K96" s="24"/>
    </row>
    <row r="97" spans="2:11" ht="15" customHeight="1" x14ac:dyDescent="0.4">
      <c r="B97" s="1" t="s">
        <v>134</v>
      </c>
      <c r="C97" s="91" t="e">
        <f>H97*Common_Shares/Data!C4</f>
        <v>#VALUE!</v>
      </c>
      <c r="D97" s="222"/>
      <c r="E97" s="124" t="e">
        <f>PV(C93,D93,0,-F93)*Exchange_Rate</f>
        <v>#VALUE!</v>
      </c>
      <c r="F97" s="222"/>
      <c r="H97" s="124" t="e">
        <f>PV(C93,D93,0,-I93)*Exchange_Rate</f>
        <v>#VALUE!</v>
      </c>
      <c r="I97" s="224"/>
      <c r="K97" s="24"/>
    </row>
    <row r="98" spans="2:11" ht="15" customHeight="1" x14ac:dyDescent="0.4">
      <c r="B98" s="28" t="s">
        <v>149</v>
      </c>
      <c r="C98" s="91">
        <f>E53*Exchange_Rate</f>
        <v>0</v>
      </c>
      <c r="D98" s="222"/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150</v>
      </c>
      <c r="C99" s="109">
        <f>(E65-IF(E70&lt;0,MIN(E65,ABS(E70)),0))*Exchange_Rate</f>
        <v>0</v>
      </c>
      <c r="D99" s="223"/>
      <c r="E99" s="148">
        <f>IF(H99&gt;0,H99*0.85,H99*1.15)</f>
        <v>0</v>
      </c>
      <c r="F99" s="223"/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116</v>
      </c>
      <c r="C100" s="91" t="e">
        <f>C97-C98+$C$99</f>
        <v>#VALUE!</v>
      </c>
      <c r="D100" s="110" t="e">
        <f>F100*(1-C94)</f>
        <v>#VALUE!</v>
      </c>
      <c r="E100" s="110" t="e">
        <f>MAX(E97-H98+E99,0)</f>
        <v>#VALUE!</v>
      </c>
      <c r="F100" s="110" t="e">
        <f>(E100+H100)/2</f>
        <v>#VALUE!</v>
      </c>
      <c r="H100" s="110" t="e">
        <f>MAX(C100*Data!$C$4/Common_Shares,0)</f>
        <v>#VALUE!</v>
      </c>
      <c r="I100" s="110" t="e">
        <f>F100*1.25</f>
        <v>#VALUE!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168</v>
      </c>
      <c r="C102" s="128" t="str">
        <f>C96</f>
        <v>HKD</v>
      </c>
      <c r="D102" s="125" t="s">
        <v>223</v>
      </c>
      <c r="E102" s="189" t="str">
        <f>E96</f>
        <v>Pessimistic Case</v>
      </c>
      <c r="F102" s="246" t="s">
        <v>262</v>
      </c>
      <c r="H102" s="189" t="str">
        <f>H96</f>
        <v>Base Case</v>
      </c>
      <c r="I102" s="125" t="s">
        <v>222</v>
      </c>
      <c r="K102" s="24"/>
    </row>
    <row r="103" spans="2:11" ht="15" customHeight="1" x14ac:dyDescent="0.4">
      <c r="B103" s="1" t="s">
        <v>167</v>
      </c>
      <c r="C103" s="91">
        <f>H103*Common_Shares/Data!C4</f>
        <v>0</v>
      </c>
      <c r="D103" s="110">
        <f>F103*(1-C94)</f>
        <v>0</v>
      </c>
      <c r="E103" s="124">
        <f>PV(C93,D93,0,-F94)*Exchange_Rate</f>
        <v>0</v>
      </c>
      <c r="F103" s="110">
        <f>(E103+H103)/2</f>
        <v>0</v>
      </c>
      <c r="H103" s="124">
        <f>PV(C93,D93,0,-I94)*Exchange_Rate</f>
        <v>0</v>
      </c>
      <c r="I103" s="110">
        <f>F103*1.25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206</v>
      </c>
      <c r="C105" s="128" t="str">
        <f>C102</f>
        <v>HKD</v>
      </c>
      <c r="D105" s="125" t="s">
        <v>223</v>
      </c>
      <c r="E105" s="190" t="str">
        <f>E96</f>
        <v>Pessimistic Case</v>
      </c>
      <c r="F105" s="246" t="s">
        <v>262</v>
      </c>
      <c r="H105" s="190" t="str">
        <f>H96</f>
        <v>Base Case</v>
      </c>
      <c r="I105" s="125" t="s">
        <v>222</v>
      </c>
      <c r="K105" s="24"/>
    </row>
    <row r="106" spans="2:11" ht="15" customHeight="1" x14ac:dyDescent="0.4">
      <c r="B106" s="1" t="s">
        <v>207</v>
      </c>
      <c r="C106" s="91" t="e">
        <f>E106*Common_Shares/Data!C4</f>
        <v>#VALUE!</v>
      </c>
      <c r="D106" s="110" t="e">
        <f>(D100+D103)/2</f>
        <v>#VALUE!</v>
      </c>
      <c r="E106" s="124" t="e">
        <f>(E100+E103)/2</f>
        <v>#VALUE!</v>
      </c>
      <c r="F106" s="110" t="e">
        <f>(F100+F103)/2</f>
        <v>#VALUE!</v>
      </c>
      <c r="H106" s="124" t="e">
        <f>(H100+H103)/2</f>
        <v>#VALUE!</v>
      </c>
      <c r="I106" s="124" t="e">
        <f>(I100+I103)/2</f>
        <v>#VALUE!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171</v>
      </c>
      <c r="C108" s="191" t="s">
        <v>237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disablePrompts="1"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