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AD4D9A-EBAC-498C-9DC3-6FCD97F5F1B4}" xr6:coauthVersionLast="47" xr6:coauthVersionMax="47" xr10:uidLastSave="{00000000-0000-0000-0000-000000000000}"/>
  <bookViews>
    <workbookView xWindow="1103" yWindow="1103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E95" i="3" l="1"/>
  <c r="C108" i="3" s="1"/>
  <c r="C109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D44" i="3"/>
  <c r="D45" i="3"/>
  <c r="J27" i="3"/>
  <c r="D25" i="3"/>
  <c r="E68" i="3" l="1"/>
  <c r="E70" i="3" s="1"/>
  <c r="C97" i="3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C96" i="3" l="1"/>
  <c r="D96" i="3" s="1"/>
  <c r="D6" i="3"/>
  <c r="C98" i="3" l="1"/>
  <c r="D98" i="3" s="1"/>
  <c r="D104" i="3" s="1"/>
  <c r="D53" i="3"/>
  <c r="D7" i="3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<sst xmlns="http://schemas.openxmlformats.org/spreadsheetml/2006/main" count="254" uniqueCount="230">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</sst>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8" fontId="4" fillId="0" borderId="0" xfId="0" applyNumberFormat="1" applyFont="1"/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4">
      <c r="B3" s="3" t="s">
        <v>219</v>
      </c>
      <c r="C3" s="202" t="s">
        <v>223</v>
      </c>
      <c r="D3" s="203"/>
      <c r="E3" s="94"/>
      <c r="F3" s="3" t="s">
        <v>1</v>
      </c>
      <c r="G3" s="171">
        <v>7.929999828338623</v>
      </c>
      <c r="H3" s="173" t="s">
        <v>2</v>
      </c>
    </row>
    <row r="4" spans="1:10" ht="15.75" customHeight="1" x14ac:dyDescent="0.4">
      <c r="B4" s="35" t="s">
        <v>220</v>
      </c>
      <c r="C4" s="204" t="s">
        <v>222</v>
      </c>
      <c r="D4" s="205"/>
      <c r="E4" s="94"/>
      <c r="F4" s="3" t="s">
        <v>3</v>
      </c>
      <c r="G4" s="208">
        <v>8171879936</v>
      </c>
      <c r="H4" s="208"/>
      <c r="I4" s="39"/>
    </row>
    <row r="5" spans="1:10" ht="15.75" customHeight="1" x14ac:dyDescent="0.4">
      <c r="B5" s="3" t="s">
        <v>178</v>
      </c>
      <c r="C5" s="206">
        <v>45593</v>
      </c>
      <c r="D5" s="207"/>
      <c r="E5" s="34"/>
      <c r="F5" s="35" t="s">
        <v>102</v>
      </c>
      <c r="G5" s="200">
        <f>G3*G4/1000000</f>
        <v>64803.006489683838</v>
      </c>
      <c r="H5" s="200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215</v>
      </c>
      <c r="F9" s="186" t="s">
        <v>209</v>
      </c>
    </row>
    <row r="10" spans="1:10" ht="15.75" customHeight="1" x14ac:dyDescent="0.4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45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4">
      <c r="B12" s="94" t="s">
        <v>141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198</v>
      </c>
      <c r="C14" s="170">
        <v>2.1309999999999999E-2</v>
      </c>
      <c r="F14" s="125" t="s">
        <v>204</v>
      </c>
    </row>
    <row r="15" spans="1:10" ht="15.75" customHeight="1" x14ac:dyDescent="0.4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45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4">
      <c r="B17" s="94" t="s">
        <v>203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4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4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4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4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0.38963783694703957</v>
      </c>
    </row>
    <row r="24" spans="1:8" ht="15.75" customHeight="1" x14ac:dyDescent="0.4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2.1925649394464258E-2</v>
      </c>
    </row>
    <row r="25" spans="1:8" ht="15.75" customHeight="1" x14ac:dyDescent="0.4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4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7.3139976362586262E-2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8">
        <f>IF(Fin_Analysis!C106="Profit",Fin_Analysis!E98,IF(Fin_Analysis!C106="Dividend",Fin_Analysis!E101,Fin_Analysis!E104))</f>
        <v>7.8687147233681527</v>
      </c>
      <c r="D29" s="167">
        <f>IF(Fin_Analysis!C106="Profit",Fin_Analysis!F98,IF(Fin_Analysis!C106="Dividend",Fin_Analysis!F101,Fin_Analysis!F104))</f>
        <v>13.11452453894692</v>
      </c>
      <c r="E29" s="94"/>
      <c r="F29" s="169">
        <f>IF(Fin_Analysis!C106="Profit",Fin_Analysis!D98,IF(Fin_Analysis!C106="Dividend",Fin_Analysis!D101,Fin_Analysis!D104))</f>
        <v>10.491619631157537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9"/>
  <sheetViews>
    <sheetView showGridLines="0" tabSelected="1" topLeftCell="A85" zoomScaleNormal="100" workbookViewId="0">
      <selection activeCell="C101" sqref="C101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4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3.9" x14ac:dyDescent="0.4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3.9" x14ac:dyDescent="0.4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4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4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4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4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3.9" x14ac:dyDescent="0.4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4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162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3">
        <f>I15+I34</f>
        <v>867000</v>
      </c>
      <c r="E56" s="214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3.9" x14ac:dyDescent="0.4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3.9" x14ac:dyDescent="0.4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ht="14.25" thickBot="1" x14ac:dyDescent="0.45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ht="14.25" thickTop="1" x14ac:dyDescent="0.4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ht="14.25" thickBot="1" x14ac:dyDescent="0.45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ht="14.25" thickTop="1" x14ac:dyDescent="0.4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4">
      <c r="A72" s="5"/>
      <c r="B72" s="120" t="s">
        <v>136</v>
      </c>
      <c r="C72" s="211">
        <f>Data!C5</f>
        <v>45473</v>
      </c>
      <c r="D72" s="211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0" t="s">
        <v>103</v>
      </c>
      <c r="D73" s="210"/>
      <c r="E73" s="212" t="s">
        <v>104</v>
      </c>
      <c r="F73" s="210"/>
    </row>
    <row r="74" spans="1:9" ht="15" customHeight="1" x14ac:dyDescent="0.4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4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4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4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4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4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4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4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45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4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4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144</v>
      </c>
    </row>
    <row r="90" spans="1:8" ht="15" customHeight="1" x14ac:dyDescent="0.4">
      <c r="B90" s="10" t="s">
        <v>169</v>
      </c>
      <c r="D90" s="215" t="s">
        <v>170</v>
      </c>
      <c r="E90" s="215"/>
      <c r="G90" s="94"/>
    </row>
    <row r="91" spans="1:8" ht="15" customHeight="1" x14ac:dyDescent="0.4">
      <c r="B91" s="1" t="s">
        <v>194</v>
      </c>
      <c r="C91" s="174" t="s">
        <v>213</v>
      </c>
      <c r="D91" s="209" t="s">
        <v>171</v>
      </c>
      <c r="E91" s="209"/>
      <c r="F91" s="29">
        <f>E83/C68</f>
        <v>4.6514478320821201E-2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8.4000000000000005E-2</v>
      </c>
      <c r="D92" s="209" t="s">
        <v>167</v>
      </c>
      <c r="E92" s="209"/>
      <c r="F92" s="137">
        <v>0.02</v>
      </c>
      <c r="H92" s="187"/>
    </row>
    <row r="94" spans="1:8" ht="15" customHeight="1" x14ac:dyDescent="0.4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4">
      <c r="B95" s="1" t="s">
        <v>139</v>
      </c>
      <c r="C95" s="102">
        <f>E85/(C92-F92)*Exchange_Rate</f>
        <v>22200750</v>
      </c>
      <c r="D95" s="155">
        <f>C95*Data!$E$3/Common_Shares</f>
        <v>2.7167249364736628</v>
      </c>
      <c r="E95" s="1">
        <f>E85/C95</f>
        <v>6.4000000000000001E-2</v>
      </c>
    </row>
    <row r="96" spans="1:8" ht="15" customHeight="1" x14ac:dyDescent="0.4">
      <c r="B96" s="28" t="s">
        <v>156</v>
      </c>
      <c r="C96" s="102">
        <f>E53*Exchange_Rate</f>
        <v>526000</v>
      </c>
      <c r="D96" s="155">
        <f>C96*Data!$E$3/Common_Shares</f>
        <v>6.4367073931517929E-2</v>
      </c>
      <c r="E96" s="94"/>
      <c r="F96" s="138"/>
    </row>
    <row r="97" spans="2:6" ht="15" customHeight="1" thickBot="1" x14ac:dyDescent="0.45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4">
      <c r="B98" s="1" t="s">
        <v>226</v>
      </c>
      <c r="C98" s="102">
        <f>C95-C96+$C$97</f>
        <v>97414850</v>
      </c>
      <c r="D98" s="124">
        <f>MAX(C98*Data!$E$3/Common_Shares,0)</f>
        <v>11.920739262315074</v>
      </c>
      <c r="E98" s="124">
        <f>D98*(1-25%)</f>
        <v>8.9405544467363054</v>
      </c>
      <c r="F98" s="124">
        <f>D98*1.25</f>
        <v>14.900924077893842</v>
      </c>
    </row>
    <row r="100" spans="2:6" ht="15" customHeight="1" x14ac:dyDescent="0.4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4">
      <c r="B101" s="1" t="s">
        <v>227</v>
      </c>
      <c r="C101" s="102">
        <f>D101*Common_Shares/Data!E3</f>
        <v>74057661.920000002</v>
      </c>
      <c r="D101" s="155">
        <f>E87/(C92-F92)*Exchange_Rate</f>
        <v>9.0625</v>
      </c>
      <c r="E101" s="124">
        <f>D101*(1-25%)</f>
        <v>6.796875</v>
      </c>
      <c r="F101" s="124">
        <f>D101*1.25</f>
        <v>11.328125</v>
      </c>
    </row>
    <row r="103" spans="2:6" ht="15" customHeight="1" x14ac:dyDescent="0.4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4">
      <c r="B104" s="1" t="s">
        <v>228</v>
      </c>
      <c r="C104" s="102">
        <f>D104*Common_Shares/Data!E3</f>
        <v>85736255.959999993</v>
      </c>
      <c r="D104" s="155">
        <f>(D98+D101)/2</f>
        <v>10.491619631157537</v>
      </c>
      <c r="E104" s="124">
        <f>D104*(1-25%)</f>
        <v>7.8687147233681527</v>
      </c>
      <c r="F104" s="124">
        <f>D104*1.25</f>
        <v>13.11452453894692</v>
      </c>
    </row>
    <row r="106" spans="2:6" ht="15" customHeight="1" x14ac:dyDescent="0.4">
      <c r="B106" s="10" t="s">
        <v>180</v>
      </c>
      <c r="C106" s="166" t="s">
        <v>229</v>
      </c>
    </row>
    <row r="108" spans="2:6" ht="15" customHeight="1" x14ac:dyDescent="0.4">
      <c r="C108" s="199">
        <f>FV(E95,5,-E85,-C95)</f>
        <v>38348083.651688747</v>
      </c>
    </row>
    <row r="109" spans="2:6" ht="15" customHeight="1" x14ac:dyDescent="0.4">
      <c r="C109" s="199">
        <f>PV(C92,5,0,-C108)</f>
        <v>25621069.530244883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