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440666-4A15-418B-8E87-CAA300931826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<sst xmlns="http://schemas.openxmlformats.org/spreadsheetml/2006/main" count="253" uniqueCount="232">
  <si>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</si>
  <si>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</si>
  <si>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</si>
  <si>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</si>
  <si>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</si>
  <si>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</si>
  <si>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</si>
  <si>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</si>
  <si>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</si>
  <si>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</si>
  <si>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</si>
  <si>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</si>
  <si>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</si>
  <si>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</si>
  <si>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</si>
  <si>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</si>
  <si>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</si>
  <si>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</si>
  <si>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</si>
  <si>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</si>
  <si>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</si>
  <si>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</si>
  <si>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</si>
  <si>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</si>
  <si>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</si>
  <si>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</si>
  <si>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</si>
  <si>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</si>
  <si>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</si>
  <si>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</si>
  <si>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</si>
  <si>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</si>
  <si>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</si>
  <si>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</si>
  <si>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</si>
  <si>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</si>
  <si>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</si>
  <si>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</si>
  <si>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</si>
  <si>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</si>
  <si>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</si>
  <si>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</si>
  <si>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</si>
  <si>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</si>
  <si>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</si>
  <si>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</si>
  <si>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</si>
  <si>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</si>
  <si>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</si>
  <si>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</si>
  <si>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</si>
  <si>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</si>
  <si>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</si>
  <si>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</si>
  <si>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</si>
  <si>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</si>
  <si>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</si>
  <si>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</si>
  <si>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</si>
  <si>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</si>
  <si>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</si>
  <si>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</si>
  <si>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</si>
  <si>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</si>
  <si>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</si>
  <si>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</si>
  <si>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</si>
  <si>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</si>
  <si>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</si>
  <si>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</si>
  <si>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</si>
  <si>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</si>
  <si>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</si>
  <si>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</si>
  <si>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</si>
  <si>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</si>
  <si>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</si>
  <si>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</si>
  <si>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</si>
  <si>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</si>
  <si>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</si>
  <si>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</si>
  <si>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</si>
  <si>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</si>
  <si>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</si>
  <si>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</si>
  <si>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</si>
  <si>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</si>
  <si>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</si>
  <si>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</si>
  <si>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</si>
  <si>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</si>
  <si>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</si>
  <si>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</si>
  <si>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</si>
  <si>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</si>
  <si>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</si>
  <si>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</si>
  <si>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</si>
  <si>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</si>
  <si>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</si>
  <si>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</si>
  <si>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</si>
  <si>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</si>
  <si>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</si>
  <si>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</si>
  <si>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</si>
  <si>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</si>
  <si>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</si>
  <si>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</si>
  <si>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</si>
  <si>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</si>
  <si>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</si>
  <si>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</si>
  <si>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</si>
  <si>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</si>
  <si>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</si>
  <si>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</si>
  <si>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</si>
  <si>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</si>
  <si>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</si>
  <si>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</si>
  <si>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</si>
  <si>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</si>
  <si>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</si>
  <si>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</si>
  <si>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</si>
  <si>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</si>
  <si>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</si>
  <si>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</si>
  <si>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</si>
  <si>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</si>
  <si>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</si>
  <si>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</si>
  <si>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</si>
  <si>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</si>
  <si>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</si>
  <si>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</si>
  <si>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</si>
  <si>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</si>
  <si>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</si>
  <si>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</si>
  <si>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</si>
  <si>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</si>
  <si>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</si>
  <si>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</si>
  <si>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</si>
  <si>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</si>
  <si>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</si>
  <si>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</si>
  <si>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</si>
  <si>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</si>
  <si>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</si>
  <si>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</si>
  <si>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</si>
  <si>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</si>
  <si>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</si>
  <si>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</si>
  <si>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</si>
  <si>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</si>
  <si>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</si>
  <si>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</si>
  <si>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</si>
  <si>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</si>
  <si>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</si>
  <si>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</si>
  <si>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</si>
  <si>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</si>
  <si>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</si>
  <si>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</si>
  <si>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</si>
  <si>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</si>
  <si>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</si>
  <si>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</si>
  <si>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</si>
  <si>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</si>
  <si>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</si>
  <si>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</si>
  <si>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</si>
  <si>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</si>
  <si>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</si>
  <si>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</si>
  <si>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</si>
  <si>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</si>
  <si>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</si>
  <si>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</si>
  <si>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</si>
  <si>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</si>
  <si>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</si>
  <si>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</si>
  <si>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</si>
  <si>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</si>
  <si>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</si>
  <si>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</si>
  <si>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</si>
  <si>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</si>
  <si>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</si>
  <si>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</si>
  <si>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</si>
  <si>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</si>
  <si>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</si>
  <si>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</si>
  <si>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</si>
  <si>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</si>
  <si>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</si>
  <si>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</si>
  <si>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</si>
  <si>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</si>
  <si>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</si>
  <si>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</si>
  <si>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</si>
  <si>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</si>
  <si>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</si>
  <si>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</si>
  <si>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</si>
  <si>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</si>
  <si>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</si>
  <si>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</si>
  <si>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</si>
  <si>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</si>
  <si>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</si>
  <si>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</si>
  <si>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</si>
  <si>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</si>
  <si>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</si>
  <si>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</si>
  <si>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</si>
  <si>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</si>
  <si>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</si>
  <si>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0268.HK</t>
  </si>
  <si>
    <t>C0009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</si>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</sst>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H29" sqref="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8.8900003433227539</v>
      </c>
      <c r="H3" s="171" t="s">
        <v>2</v>
      </c>
    </row>
    <row r="4" spans="1:10" ht="15.75" customHeight="1" x14ac:dyDescent="0.5">
      <c r="B4" s="35" t="s">
        <v>218</v>
      </c>
      <c r="C4" s="203" t="s">
        <v>231</v>
      </c>
      <c r="D4" s="204"/>
      <c r="E4" s="94"/>
      <c r="F4" s="3" t="s">
        <v>3</v>
      </c>
      <c r="G4" s="207">
        <v>3585854271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31878.245700295363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230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0.35834792051449244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0.49473021389230248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3.8655956702792868E-3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2.2855299385187999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1.6378490188480914E-2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0.11305626992292581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1.3345770546791791</v>
      </c>
      <c r="D29" s="165">
        <f>IF(Fin_Analysis!C106="Profit",Fin_Analysis!F98,IF(Fin_Analysis!C106="Dividend",Fin_Analysis!F101,Fin_Analysis!F104))</f>
        <v>1.9303609039249512</v>
      </c>
      <c r="E29" s="94"/>
      <c r="F29" s="167">
        <f>IF(Fin_Analysis!C106="Profit",Fin_Analysis!D98,IF(Fin_Analysis!C106="Dividend",Fin_Analysis!D101,Fin_Analysis!D104))</f>
        <v>1.5442887231399609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13" sqref="D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5679073</v>
      </c>
      <c r="D6" s="58">
        <v>4865769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0.1671480910828278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2035084</v>
      </c>
      <c r="D8" s="92">
        <v>1868136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3643989</v>
      </c>
      <c r="D9" s="101">
        <f t="shared" si="2"/>
        <v>2997633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2319645+489964</f>
        <v>2809609</v>
      </c>
      <c r="D10" s="92">
        <f>2026584+503857</f>
        <v>2530441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834380</v>
      </c>
      <c r="D13" s="101">
        <f t="shared" ref="D13:M13" si="4">IF(D6="","",(D9-D10+D12))</f>
        <v>467192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1439671</v>
      </c>
      <c r="D14" s="92">
        <v>1295476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21953</v>
      </c>
      <c r="D17" s="92">
        <v>7661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-59916</v>
      </c>
      <c r="D18" s="92">
        <v>-63246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-627244</v>
      </c>
      <c r="D19" s="95">
        <f>IF(D6="","",D13-D14-MAX(D15,0)-MAX(D16,0)-D17-MAX(D18/(1-Fin_Analysis!$F$84),0))</f>
        <v>-835945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0.24965876941664822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-8.2836230490433913E-2</v>
      </c>
      <c r="D21" s="56">
        <f t="shared" si="6"/>
        <v>-0.12885090722555881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-470433</v>
      </c>
      <c r="D22" s="95">
        <f>IF(D6="","",D19*(1-Fin_Analysis!$F$84))</f>
        <v>-626958.75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0.24965876941664822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-4.5027899618086537E-2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0.35834792051449244</v>
      </c>
      <c r="D40" s="61">
        <f t="shared" si="21"/>
        <v>0.38393437912897221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0.49473021389230248</v>
      </c>
      <c r="D41" s="56">
        <f t="shared" si="22"/>
        <v>0.5200495543458804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0.25350457724350434</v>
      </c>
      <c r="D42" s="56">
        <f t="shared" si="23"/>
        <v>0.26624280766308472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3.8655956702792868E-3</v>
      </c>
      <c r="D44" s="56">
        <f t="shared" si="25"/>
        <v>1.5744684961411033E-3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-0.11044830732057855</v>
      </c>
      <c r="D46" s="56">
        <f t="shared" si="26"/>
        <v>-0.17180120963407838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4.6798658865628243E-2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1.7031399314641669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-0.64723248070150452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-3.4999139091007644E-2</v>
      </c>
      <c r="D53" s="56">
        <f t="shared" si="31"/>
        <v>-9.1644785243048289E-3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2" zoomScaleNormal="100" workbookViewId="0">
      <selection activeCell="E87" sqref="E8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4047188.9777345182</v>
      </c>
      <c r="E6" s="56">
        <f>1-D6/D3</f>
        <v>0.68538393434598766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1.2237586060638765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5679073</v>
      </c>
      <c r="D74" s="130"/>
      <c r="E74" s="148">
        <f>C74</f>
        <v>5679073</v>
      </c>
      <c r="F74" s="130"/>
    </row>
    <row r="75" spans="1:9" ht="15" customHeight="1" x14ac:dyDescent="0.4">
      <c r="B75" s="117" t="s">
        <v>109</v>
      </c>
      <c r="C75" s="95">
        <f>Data!C8</f>
        <v>2035084</v>
      </c>
      <c r="D75" s="131">
        <f>C75/$C$74</f>
        <v>0.35834792051449244</v>
      </c>
      <c r="E75" s="148">
        <f>D75*E74</f>
        <v>2035084</v>
      </c>
      <c r="F75" s="149">
        <f>E75/$E$74</f>
        <v>0.35834792051449244</v>
      </c>
    </row>
    <row r="76" spans="1:9" ht="15" customHeight="1" x14ac:dyDescent="0.4">
      <c r="B76" s="35" t="s">
        <v>96</v>
      </c>
      <c r="C76" s="118">
        <f>C74-C75</f>
        <v>3643989</v>
      </c>
      <c r="D76" s="132"/>
      <c r="E76" s="150">
        <f>E74-E75</f>
        <v>3643989</v>
      </c>
      <c r="F76" s="132"/>
    </row>
    <row r="77" spans="1:9" ht="15" customHeight="1" x14ac:dyDescent="0.4">
      <c r="B77" s="117" t="s">
        <v>133</v>
      </c>
      <c r="C77" s="95">
        <f>Data!C10-Data!C12</f>
        <v>2809609</v>
      </c>
      <c r="D77" s="131">
        <f>C77/$C$74</f>
        <v>0.49473021389230248</v>
      </c>
      <c r="E77" s="148">
        <f>D77*E74</f>
        <v>2809609</v>
      </c>
      <c r="F77" s="149">
        <f>E77/$E$74</f>
        <v>0.49473021389230248</v>
      </c>
    </row>
    <row r="78" spans="1:9" ht="15" customHeight="1" x14ac:dyDescent="0.4">
      <c r="B78" s="35" t="s">
        <v>97</v>
      </c>
      <c r="C78" s="118">
        <f>C76-C77</f>
        <v>834380</v>
      </c>
      <c r="D78" s="132"/>
      <c r="E78" s="150">
        <f>E76-E77</f>
        <v>834380</v>
      </c>
      <c r="F78" s="132"/>
    </row>
    <row r="79" spans="1:9" ht="15" customHeight="1" x14ac:dyDescent="0.4">
      <c r="B79" s="117" t="s">
        <v>129</v>
      </c>
      <c r="C79" s="95">
        <f>Data!C17</f>
        <v>21953</v>
      </c>
      <c r="D79" s="131">
        <f>C79/$C$74</f>
        <v>3.8655956702792868E-3</v>
      </c>
      <c r="E79" s="148">
        <f>C79</f>
        <v>21953</v>
      </c>
      <c r="F79" s="149">
        <f>E79/$E$74</f>
        <v>3.8655956702792868E-3</v>
      </c>
    </row>
    <row r="80" spans="1:9" ht="15" customHeight="1" x14ac:dyDescent="0.4">
      <c r="B80" s="28" t="s">
        <v>135</v>
      </c>
      <c r="C80" s="95">
        <f>Data!C14+MAX(Data!C15,0)</f>
        <v>1439671</v>
      </c>
      <c r="D80" s="131">
        <f>C80/$C$74</f>
        <v>0.25350457724350434</v>
      </c>
      <c r="E80" s="148">
        <f>3%*E74</f>
        <v>170372.19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-627244</v>
      </c>
      <c r="D83" s="133">
        <f>C83/$C$74</f>
        <v>-0.11044830732057855</v>
      </c>
      <c r="E83" s="151">
        <f>E78-E79-E80-E81-E82</f>
        <v>642054.81000000006</v>
      </c>
      <c r="F83" s="135">
        <f t="shared" si="8"/>
        <v>0.11305626992292581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-470433</v>
      </c>
      <c r="D85" s="135">
        <f>C85/$C$74</f>
        <v>-8.2836230490433913E-2</v>
      </c>
      <c r="E85" s="153">
        <f>E83*(1-F84)</f>
        <v>481541.10750000004</v>
      </c>
      <c r="F85" s="135">
        <f>E85/$E$74</f>
        <v>8.4792202442194362E-2</v>
      </c>
    </row>
    <row r="86" spans="1:8" ht="15" customHeight="1" x14ac:dyDescent="0.4">
      <c r="B86" s="94" t="s">
        <v>174</v>
      </c>
      <c r="C86" s="159">
        <f>C85*Data!E3/Common_Shares</f>
        <v>-0.13119133251023296</v>
      </c>
      <c r="D86" s="130"/>
      <c r="E86" s="161">
        <f>E85*Data!E3/Common_Shares</f>
        <v>0.13428909016029561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1.6378490188480914E-2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1.6551424843616358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4221030.173154668</v>
      </c>
      <c r="D95" s="154">
        <f>PV(C92,D92,0,-F92)*Exchange_Rate</f>
        <v>1.1771337745907713</v>
      </c>
      <c r="E95" s="154">
        <f>PV(15%,D92,0,-F92)*Exchange_Rate</f>
        <v>0.89223878090195918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1316564.1403738977</v>
      </c>
      <c r="D97" s="197">
        <f>C97*Data!$E$3/Common_Shares</f>
        <v>0.3671549485491899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5537594.3135285657</v>
      </c>
      <c r="D98" s="124">
        <f>MAX(C98*Data!$E$3/Common_Shares,0)</f>
        <v>1.5442887231399609</v>
      </c>
      <c r="E98" s="124">
        <f>E95*Exchange_Rate-D96+D97</f>
        <v>1.3345770546791791</v>
      </c>
      <c r="F98" s="124">
        <f>D98*1.25</f>
        <v>1.9303609039249512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2768797.1567642828</v>
      </c>
      <c r="D104" s="154">
        <f>(D98+D101)/2</f>
        <v>0.77214436156998045</v>
      </c>
      <c r="E104" s="124">
        <f>D104*(1-25%)</f>
        <v>0.57910827117748531</v>
      </c>
      <c r="F104" s="124">
        <f>D104*1.25</f>
        <v>0.96518045196247559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