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E5718AE-1537-41FC-BF45-CAA0F77EEB6C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D10" i="2"/>
  <c r="C10" i="2"/>
  <c r="C92" i="3" l="1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<sst xmlns="http://schemas.openxmlformats.org/spreadsheetml/2006/main" count="253" uniqueCount="232">
  <si>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</si>
  <si>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</si>
  <si>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</si>
  <si>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</si>
  <si>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</si>
  <si>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</si>
  <si>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</si>
  <si>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</si>
  <si>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</si>
  <si>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</si>
  <si>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</si>
  <si>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</si>
  <si>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</si>
  <si>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</si>
  <si>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</si>
  <si>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</si>
  <si>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</si>
  <si>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</si>
  <si>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</si>
  <si>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</si>
  <si>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</si>
  <si>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</si>
  <si>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</si>
  <si>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</si>
  <si>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</si>
  <si>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</si>
  <si>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</si>
  <si>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</si>
  <si>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</si>
  <si>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</si>
  <si>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</si>
  <si>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</si>
  <si>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</si>
  <si>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</si>
  <si>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</si>
  <si>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</si>
  <si>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</si>
  <si>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</si>
  <si>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</si>
  <si>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</si>
  <si>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</si>
  <si>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</si>
  <si>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</si>
  <si>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</si>
  <si>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</si>
  <si>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</si>
  <si>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</si>
  <si>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</si>
  <si>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</si>
  <si>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</si>
  <si>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</si>
  <si>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</si>
  <si>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</si>
  <si>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</si>
  <si>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</si>
  <si>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</si>
  <si>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</si>
  <si>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</si>
  <si>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</si>
  <si>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</si>
  <si>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</si>
  <si>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</si>
  <si>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</si>
  <si>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</si>
  <si>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</si>
  <si>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</si>
  <si>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</si>
  <si>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</si>
  <si>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</si>
  <si>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</si>
  <si>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</si>
  <si>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</si>
  <si>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</si>
  <si>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</si>
  <si>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</si>
  <si>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</si>
  <si>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</si>
  <si>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</si>
  <si>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</si>
  <si>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</si>
  <si>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</si>
  <si>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</si>
  <si>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</si>
  <si>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</si>
  <si>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</si>
  <si>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</si>
  <si>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</si>
  <si>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</si>
  <si>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</si>
  <si>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</si>
  <si>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</si>
  <si>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</si>
  <si>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</si>
  <si>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</si>
  <si>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</si>
  <si>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</si>
  <si>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</si>
  <si>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</si>
  <si>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</si>
  <si>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</si>
  <si>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</si>
  <si>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</si>
  <si>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</si>
  <si>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</si>
  <si>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</si>
  <si>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</si>
  <si>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</si>
  <si>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</si>
  <si>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</si>
  <si>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</si>
  <si>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</si>
  <si>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</si>
  <si>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</si>
  <si>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</si>
  <si>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</si>
  <si>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</si>
  <si>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</si>
  <si>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</si>
  <si>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</si>
  <si>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</si>
  <si>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</si>
  <si>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</si>
  <si>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</si>
  <si>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</si>
  <si>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</si>
  <si>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</si>
  <si>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</si>
  <si>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</si>
  <si>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</si>
  <si>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</si>
  <si>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</si>
  <si>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</si>
  <si>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</si>
  <si>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</si>
  <si>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</si>
  <si>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</si>
  <si>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</si>
  <si>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</si>
  <si>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</si>
  <si>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</si>
  <si>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</si>
  <si>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</si>
  <si>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</si>
  <si>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</si>
  <si>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</si>
  <si>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</si>
  <si>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</si>
  <si>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</si>
  <si>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</si>
  <si>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</si>
  <si>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</si>
  <si>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</si>
  <si>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</si>
  <si>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</si>
  <si>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</si>
  <si>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</si>
  <si>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</si>
  <si>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</si>
  <si>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</si>
  <si>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</si>
  <si>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</si>
  <si>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</si>
  <si>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</si>
  <si>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</si>
  <si>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</si>
  <si>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</si>
  <si>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</si>
  <si>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</si>
  <si>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</si>
  <si>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</si>
  <si>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</si>
  <si>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</si>
  <si>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</si>
  <si>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</si>
  <si>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</si>
  <si>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</si>
  <si>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</si>
  <si>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</si>
  <si>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</si>
  <si>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</si>
  <si>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</si>
  <si>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</si>
  <si>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</si>
  <si>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</si>
  <si>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</si>
  <si>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</si>
  <si>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</si>
  <si>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</si>
  <si>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</si>
  <si>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</si>
  <si>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</si>
  <si>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</si>
  <si>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</si>
  <si>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</si>
  <si>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</si>
  <si>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</si>
  <si>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</si>
  <si>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</si>
  <si>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</si>
  <si>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</si>
  <si>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</si>
  <si>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</si>
  <si>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</si>
  <si>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</si>
  <si>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</si>
  <si>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</si>
  <si>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</si>
  <si>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</si>
  <si>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</si>
  <si>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</si>
  <si>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</si>
  <si>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</si>
  <si>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</si>
  <si>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</si>
  <si>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</si>
  <si>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</si>
  <si>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</si>
  <si>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</si>
  <si>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</si>
  <si>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</si>
  <si>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</si>
  <si>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</si>
  <si>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</si>
  <si>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</si>
  <si>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</si>
  <si>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</si>
  <si>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</si>
  <si>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</si>
  <si>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</si>
  <si>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紛美包裝</t>
  </si>
  <si>
    <t>0468.HK</t>
  </si>
  <si>
    <t>C0007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</si>
</sst>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7" sqref="C2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230</v>
      </c>
      <c r="D3" s="202"/>
      <c r="E3" s="94"/>
      <c r="F3" s="3" t="s">
        <v>1</v>
      </c>
      <c r="G3" s="169">
        <v>2.4000000953674316</v>
      </c>
      <c r="H3" s="171" t="s">
        <v>2</v>
      </c>
    </row>
    <row r="4" spans="1:10" ht="15.75" customHeight="1" x14ac:dyDescent="0.5">
      <c r="B4" s="35" t="s">
        <v>218</v>
      </c>
      <c r="C4" s="203" t="s">
        <v>229</v>
      </c>
      <c r="D4" s="204"/>
      <c r="E4" s="94"/>
      <c r="F4" s="3" t="s">
        <v>3</v>
      </c>
      <c r="G4" s="207">
        <v>1407129000</v>
      </c>
      <c r="H4" s="207"/>
      <c r="I4" s="39"/>
    </row>
    <row r="5" spans="1:10" ht="15.75" customHeight="1" x14ac:dyDescent="0.4">
      <c r="B5" s="3" t="s">
        <v>178</v>
      </c>
      <c r="C5" s="205">
        <v>45605</v>
      </c>
      <c r="D5" s="206"/>
      <c r="E5" s="34"/>
      <c r="F5" s="35" t="s">
        <v>102</v>
      </c>
      <c r="G5" s="199">
        <f>G3*G4/1000000</f>
        <v>3377.1097341942786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1.0842636823654175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0.82154354610382485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0.1102707353696761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1.9909979330197799E-3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0.24212390718516782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3.3264566318910657E-2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0.81487883299432629</v>
      </c>
    </row>
    <row r="26" spans="1:8" ht="15.75" customHeight="1" x14ac:dyDescent="0.4">
      <c r="B26" s="176" t="s">
        <v>191</v>
      </c>
      <c r="C26" s="175">
        <f>Fin_Analysis!F83</f>
        <v>3.6194720593479307E-2</v>
      </c>
      <c r="F26" s="180" t="s">
        <v>216</v>
      </c>
      <c r="G26" s="179">
        <f>Fin_Analysis!E87*Exchange_Rate/G3</f>
        <v>2.7106590982016288E-2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1.5116270941285195</v>
      </c>
      <c r="D29" s="165">
        <f>IF(Fin_Analysis!C106="Profit",Fin_Analysis!F98,IF(Fin_Analysis!C106="Dividend",Fin_Analysis!F101,Fin_Analysis!F104))</f>
        <v>2.0456078261846762</v>
      </c>
      <c r="E29" s="94"/>
      <c r="F29" s="167">
        <f>IF(Fin_Analysis!C106="Profit",Fin_Analysis!D98,IF(Fin_Analysis!C106="Dividend",Fin_Analysis!D101,Fin_Analysis!D104))</f>
        <v>1.6364862609477409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26" sqref="C2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3816679</v>
      </c>
      <c r="D6" s="58">
        <v>3937011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-3.0564303731942855E-2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3135568</v>
      </c>
      <c r="D8" s="92">
        <v>3349048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681111</v>
      </c>
      <c r="D9" s="101">
        <f t="shared" si="2"/>
        <v>587963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226380+194488</f>
        <v>420868</v>
      </c>
      <c r="D10" s="92">
        <f>254426+169776</f>
        <v>424202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260243</v>
      </c>
      <c r="D13" s="101">
        <f t="shared" ref="D13:M13" si="4">IF(D6="","",(D9-D10+D12))</f>
        <v>163761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7599</v>
      </c>
      <c r="D17" s="92">
        <v>5443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252644</v>
      </c>
      <c r="D19" s="95">
        <f>IF(D6="","",D13-D14-MAX(D15,0)-MAX(D16,0)-D17-MAX(D18/(1-Fin_Analysis!$F$84),0))</f>
        <v>158318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0.59580085650399828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4.9646040445109479E-2</v>
      </c>
      <c r="D21" s="56">
        <f t="shared" si="6"/>
        <v>3.0159555053313289E-2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189483</v>
      </c>
      <c r="D22" s="95">
        <f>IF(D6="","",D19*(1-Fin_Analysis!$F$84))</f>
        <v>118738.5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0.59580085650399828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1.8136528481917491E-2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0.82154354610382485</v>
      </c>
      <c r="D40" s="61">
        <f t="shared" si="21"/>
        <v>0.85065751657793187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0.1102707353696761</v>
      </c>
      <c r="D41" s="56">
        <f t="shared" si="22"/>
        <v>0.10774722244870538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1.9909979330197799E-3</v>
      </c>
      <c r="D44" s="56">
        <f t="shared" si="25"/>
        <v>1.3825209022784036E-3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6.6194720593479306E-2</v>
      </c>
      <c r="D46" s="56">
        <f t="shared" si="26"/>
        <v>4.0212740071084385E-2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6.9634622141395694E-2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2.5342073567098518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0.26069504507711661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3.0077896170104968E-2</v>
      </c>
      <c r="D53" s="56">
        <f t="shared" si="31"/>
        <v>3.4380171553455706E-2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3" zoomScaleNormal="100" workbookViewId="0">
      <selection activeCell="D104" sqref="D104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4047188.9777345182</v>
      </c>
      <c r="E6" s="56">
        <f>1-D6/D3</f>
        <v>0.68538393434598766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3.1185627076317513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3816679</v>
      </c>
      <c r="D74" s="130"/>
      <c r="E74" s="148">
        <f>C74</f>
        <v>3816679</v>
      </c>
      <c r="F74" s="130"/>
    </row>
    <row r="75" spans="1:9" ht="15" customHeight="1" x14ac:dyDescent="0.4">
      <c r="B75" s="117" t="s">
        <v>109</v>
      </c>
      <c r="C75" s="95">
        <f>Data!C8</f>
        <v>3135568</v>
      </c>
      <c r="D75" s="131">
        <f>C75/$C$74</f>
        <v>0.82154354610382485</v>
      </c>
      <c r="E75" s="148">
        <f>D75*E74</f>
        <v>3135568</v>
      </c>
      <c r="F75" s="149">
        <f>E75/$E$74</f>
        <v>0.82154354610382485</v>
      </c>
    </row>
    <row r="76" spans="1:9" ht="15" customHeight="1" x14ac:dyDescent="0.4">
      <c r="B76" s="35" t="s">
        <v>96</v>
      </c>
      <c r="C76" s="118">
        <f>C74-C75</f>
        <v>681111</v>
      </c>
      <c r="D76" s="132"/>
      <c r="E76" s="150">
        <f>E74-E75</f>
        <v>681111</v>
      </c>
      <c r="F76" s="132"/>
    </row>
    <row r="77" spans="1:9" ht="15" customHeight="1" x14ac:dyDescent="0.4">
      <c r="B77" s="117" t="s">
        <v>133</v>
      </c>
      <c r="C77" s="95">
        <f>Data!C10-Data!C12</f>
        <v>420868</v>
      </c>
      <c r="D77" s="131">
        <f>C77/$C$74</f>
        <v>0.1102707353696761</v>
      </c>
      <c r="E77" s="148">
        <f>D77*E74</f>
        <v>420868</v>
      </c>
      <c r="F77" s="149">
        <f>E77/$E$74</f>
        <v>0.1102707353696761</v>
      </c>
    </row>
    <row r="78" spans="1:9" ht="15" customHeight="1" x14ac:dyDescent="0.4">
      <c r="B78" s="35" t="s">
        <v>97</v>
      </c>
      <c r="C78" s="118">
        <f>C76-C77</f>
        <v>260243</v>
      </c>
      <c r="D78" s="132"/>
      <c r="E78" s="150">
        <f>E76-E77</f>
        <v>260243</v>
      </c>
      <c r="F78" s="132"/>
    </row>
    <row r="79" spans="1:9" ht="15" customHeight="1" x14ac:dyDescent="0.4">
      <c r="B79" s="117" t="s">
        <v>129</v>
      </c>
      <c r="C79" s="95">
        <f>Data!C17</f>
        <v>7599</v>
      </c>
      <c r="D79" s="131">
        <f>C79/$C$74</f>
        <v>1.9909979330197799E-3</v>
      </c>
      <c r="E79" s="148">
        <f>C79</f>
        <v>7599</v>
      </c>
      <c r="F79" s="149">
        <f>E79/$E$74</f>
        <v>1.9909979330197799E-3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114500.37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252644</v>
      </c>
      <c r="D83" s="133">
        <f>C83/$C$74</f>
        <v>6.6194720593479306E-2</v>
      </c>
      <c r="E83" s="151">
        <f>E78-E79-E80-E81-E82</f>
        <v>138143.63</v>
      </c>
      <c r="F83" s="135">
        <f t="shared" si="8"/>
        <v>3.6194720593479307E-2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189483</v>
      </c>
      <c r="D85" s="135">
        <f>C85/$C$74</f>
        <v>4.9646040445109479E-2</v>
      </c>
      <c r="E85" s="153">
        <f>E83*(1-F84)</f>
        <v>103607.7225</v>
      </c>
      <c r="F85" s="135">
        <f>E85/$E$74</f>
        <v>2.714604044510948E-2</v>
      </c>
    </row>
    <row r="86" spans="1:8" ht="15" customHeight="1" x14ac:dyDescent="0.4">
      <c r="B86" s="94" t="s">
        <v>174</v>
      </c>
      <c r="C86" s="159">
        <f>C85*Data!E3/Common_Shares</f>
        <v>0.13465929562961179</v>
      </c>
      <c r="D86" s="130"/>
      <c r="E86" s="161">
        <f>E85*Data!E3/Common_Shares</f>
        <v>7.3630578646307482E-2</v>
      </c>
      <c r="F86" s="130"/>
    </row>
    <row r="87" spans="1:8" ht="15" customHeight="1" x14ac:dyDescent="0.4">
      <c r="B87" s="93" t="s">
        <v>175</v>
      </c>
      <c r="C87" s="162">
        <f>0.06+0.04</f>
        <v>0.1</v>
      </c>
      <c r="D87" s="135">
        <f>C87/C86</f>
        <v>0.74261490476718228</v>
      </c>
      <c r="E87" s="160">
        <v>0.06</v>
      </c>
      <c r="F87" s="135">
        <f>E87/E86</f>
        <v>0.81487883299432629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3.3264566318910657E-2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0.98544689039626299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986183.13550723577</v>
      </c>
      <c r="D95" s="154">
        <f>PV(C92,D92,0,-F92)*Exchange_Rate</f>
        <v>0.70084770870846647</v>
      </c>
      <c r="E95" s="154">
        <f>PV(15%,D92,0,-F92)*Exchange_Rate</f>
        <v>0.5312255231427423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1316564.1403738977</v>
      </c>
      <c r="D97" s="197">
        <f>C97*Data!$E$3/Common_Shares</f>
        <v>0.93563855223927428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2302747.2758811335</v>
      </c>
      <c r="D98" s="124">
        <f>MAX(C98*Data!$E$3/Common_Shares,0)</f>
        <v>1.6364862609477409</v>
      </c>
      <c r="E98" s="124">
        <f>E95*Exchange_Rate-D96+D97</f>
        <v>1.5116270941285195</v>
      </c>
      <c r="F98" s="124">
        <f>D98*1.25</f>
        <v>2.0456078261846762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1346204.8862675007</v>
      </c>
      <c r="D101" s="154">
        <f>E87/(C92-2%)*Exchange_Rate</f>
        <v>0.9567032491459565</v>
      </c>
      <c r="E101" s="124">
        <f>D101*(1-25%)</f>
        <v>0.7175274368594674</v>
      </c>
      <c r="F101" s="124">
        <f>D101*1.25</f>
        <v>1.1958790614324457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1824476.081074317</v>
      </c>
      <c r="D104" s="154">
        <f>(D98+D101)/2</f>
        <v>1.2965947550468486</v>
      </c>
      <c r="E104" s="124">
        <f>D104*(1-25%)</f>
        <v>0.97244606628513641</v>
      </c>
      <c r="F104" s="124">
        <f>D104*1.25</f>
        <v>1.6207434438085608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