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95CBD4D-815A-4F25-87CB-20B75B1CD21D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0" i="2" l="1"/>
  <c r="C10" i="2"/>
  <c r="D8" i="2"/>
  <c r="C8" i="2"/>
  <c r="E87" i="3" l="1"/>
  <c r="C92" i="3"/>
  <c r="D101" i="3" l="1"/>
  <c r="B92" i="3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E80" i="3" s="1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<sst xmlns="http://schemas.openxmlformats.org/spreadsheetml/2006/main" count="253" uniqueCount="232">
  <si>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</si>
  <si>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</si>
  <si>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</si>
  <si>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</si>
  <si>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</si>
  <si>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</si>
  <si>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</si>
  <si>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</si>
  <si>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</si>
  <si>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</si>
  <si>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</si>
  <si>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</si>
  <si>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</si>
  <si>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</si>
  <si>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</si>
  <si>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</si>
  <si>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</si>
  <si>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</si>
  <si>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</si>
  <si>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</si>
  <si>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</si>
  <si>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</si>
  <si>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</si>
  <si>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</si>
  <si>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</si>
  <si>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</si>
  <si>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</si>
  <si>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</si>
  <si>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</si>
  <si>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</si>
  <si>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</si>
  <si>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</si>
  <si>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</si>
  <si>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</si>
  <si>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</si>
  <si>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</si>
  <si>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</si>
  <si>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</si>
  <si>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</si>
  <si>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</si>
  <si>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</si>
  <si>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</si>
  <si>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</si>
  <si>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</si>
  <si>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</si>
  <si>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</si>
  <si>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</si>
  <si>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</si>
  <si>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</si>
  <si>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</si>
  <si>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</si>
  <si>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</si>
  <si>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</si>
  <si>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</si>
  <si>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</si>
  <si>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</si>
  <si>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</si>
  <si>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</si>
  <si>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</si>
  <si>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</si>
  <si>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</si>
  <si>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</si>
  <si>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</si>
  <si>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</si>
  <si>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</si>
  <si>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</si>
  <si>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</si>
  <si>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</si>
  <si>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</si>
  <si>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</si>
  <si>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</si>
  <si>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</si>
  <si>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</si>
  <si>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</si>
  <si>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</si>
  <si>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</si>
  <si>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</si>
  <si>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</si>
  <si>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</si>
  <si>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</si>
  <si>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</si>
  <si>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</si>
  <si>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</si>
  <si>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</si>
  <si>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</si>
  <si>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</si>
  <si>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</si>
  <si>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</si>
  <si>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</si>
  <si>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</si>
  <si>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</si>
  <si>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</si>
  <si>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</si>
  <si>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</si>
  <si>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</si>
  <si>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</si>
  <si>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</si>
  <si>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</si>
  <si>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</si>
  <si>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</si>
  <si>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</si>
  <si>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</si>
  <si>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</si>
  <si>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</si>
  <si>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</si>
  <si>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</si>
  <si>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</si>
  <si>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</si>
  <si>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</si>
  <si>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</si>
  <si>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</si>
  <si>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</si>
  <si>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</si>
  <si>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</si>
  <si>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</si>
  <si>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</si>
  <si>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</si>
  <si>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</si>
  <si>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</si>
  <si>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</si>
  <si>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</si>
  <si>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</si>
  <si>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</si>
  <si>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</si>
  <si>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</si>
  <si>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</si>
  <si>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</si>
  <si>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</si>
  <si>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</si>
  <si>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</si>
  <si>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</si>
  <si>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</si>
  <si>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</si>
  <si>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</si>
  <si>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</si>
  <si>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</si>
  <si>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</si>
  <si>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</si>
  <si>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</si>
  <si>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</si>
  <si>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</si>
  <si>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</si>
  <si>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</si>
  <si>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</si>
  <si>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</si>
  <si>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</si>
  <si>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</si>
  <si>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</si>
  <si>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</si>
  <si>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</si>
  <si>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</si>
  <si>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</si>
  <si>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</si>
  <si>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</si>
  <si>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</si>
  <si>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</si>
  <si>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</si>
  <si>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</si>
  <si>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</si>
  <si>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</si>
  <si>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</si>
  <si>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</si>
  <si>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</si>
  <si>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</si>
  <si>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</si>
  <si>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</si>
  <si>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</si>
  <si>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</si>
  <si>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</si>
  <si>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</si>
  <si>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</si>
  <si>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</si>
  <si>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</si>
  <si>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</si>
  <si>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</si>
  <si>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</si>
  <si>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</si>
  <si>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</si>
  <si>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</si>
  <si>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</si>
  <si>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</si>
  <si>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</si>
  <si>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</si>
  <si>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</si>
  <si>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</si>
  <si>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</si>
  <si>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</si>
  <si>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</si>
  <si>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</si>
  <si>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</si>
  <si>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</si>
  <si>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</si>
  <si>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</si>
  <si>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</si>
  <si>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</si>
  <si>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</si>
  <si>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</si>
  <si>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</si>
  <si>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</si>
  <si>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</si>
  <si>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</si>
  <si>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</si>
  <si>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</si>
  <si>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</si>
  <si>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</si>
  <si>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</si>
  <si>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</si>
  <si>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</si>
  <si>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</si>
  <si>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</si>
  <si>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</si>
  <si>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</si>
  <si>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</si>
  <si>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</si>
  <si>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</si>
  <si>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</si>
  <si>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</si>
  <si>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</si>
  <si>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</si>
  <si>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</si>
  <si>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</si>
  <si>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</si>
  <si>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</si>
  <si>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</si>
  <si>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</si>
  <si>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</si>
  <si>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</si>
  <si>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</si>
  <si>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</si>
  <si>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0696.HK</t>
  </si>
  <si>
    <t>中國民航信息網絡</t>
  </si>
  <si>
    <t>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</si>
</sst>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6" sqref="B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1" t="s">
        <v>229</v>
      </c>
      <c r="D3" s="202"/>
      <c r="E3" s="94"/>
      <c r="F3" s="3" t="s">
        <v>1</v>
      </c>
      <c r="G3" s="169">
        <v>11.260000228881836</v>
      </c>
      <c r="H3" s="171" t="s">
        <v>2</v>
      </c>
    </row>
    <row r="4" spans="1:10" ht="15.75" customHeight="1" x14ac:dyDescent="0.5">
      <c r="B4" s="35" t="s">
        <v>218</v>
      </c>
      <c r="C4" s="203" t="s">
        <v>230</v>
      </c>
      <c r="D4" s="204"/>
      <c r="E4" s="94"/>
      <c r="F4" s="3" t="s">
        <v>3</v>
      </c>
      <c r="G4" s="207">
        <v>2926209589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32949.120641896225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4">
      <c r="B7" s="93" t="s">
        <v>215</v>
      </c>
      <c r="C7" s="186" t="s">
        <v>71</v>
      </c>
      <c r="D7" s="192" t="s">
        <v>231</v>
      </c>
      <c r="E7" s="94"/>
      <c r="F7" s="35" t="s">
        <v>6</v>
      </c>
      <c r="G7" s="170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0.48660635459513968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0.17055682117844595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2.1757339633768379E-3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0.12357639997060962</v>
      </c>
      <c r="F23" s="178" t="s">
        <v>209</v>
      </c>
      <c r="G23" s="184">
        <f>G3/(Data!C34*Data!E3/Common_Shares*Exchange_Rate)</f>
        <v>2362.3069595145212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3.7417627759632477E-2</v>
      </c>
    </row>
    <row r="25" spans="1:8" ht="15.75" customHeight="1" x14ac:dyDescent="0.4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0.41175629204954944</v>
      </c>
    </row>
    <row r="26" spans="1:8" ht="15.75" customHeight="1" x14ac:dyDescent="0.4">
      <c r="B26" s="176" t="s">
        <v>191</v>
      </c>
      <c r="C26" s="175">
        <f>Fin_Analysis!F83</f>
        <v>0.21708469029242794</v>
      </c>
      <c r="F26" s="180" t="s">
        <v>216</v>
      </c>
      <c r="G26" s="179">
        <f>Fin_Analysis!E87*Exchange_Rate/G3</f>
        <v>1.5406943663596559E-2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3.1017643739381415</v>
      </c>
      <c r="D29" s="165">
        <f>IF(Fin_Analysis!C106="Profit",Fin_Analysis!F98,IF(Fin_Analysis!C106="Dividend",Fin_Analysis!F101,Fin_Analysis!F104))</f>
        <v>4.7175597245700143</v>
      </c>
      <c r="E29" s="94"/>
      <c r="F29" s="167">
        <f>IF(Fin_Analysis!C106="Profit",Fin_Analysis!D98,IF(Fin_Analysis!C106="Dividend",Fin_Analysis!D101,Fin_Analysis!D104))</f>
        <v>3.7740477796560117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6983846860.7700005</v>
      </c>
      <c r="D6" s="58">
        <v>5210105771.0900002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0.34044243391798124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f>3316518908.18+81865353.79</f>
        <v>3398384261.9699998</v>
      </c>
      <c r="D8" s="92">
        <f>3089870946.25+72359129</f>
        <v>3162230075.25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3585462598.8000007</v>
      </c>
      <c r="D9" s="101">
        <f t="shared" si="2"/>
        <v>2047875695.8400002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129150488.83+1061992231.34</f>
        <v>1191142720.1700001</v>
      </c>
      <c r="D10" s="92">
        <f>107041533.91+921526565.93</f>
        <v>1028568099.8399999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2394319878.6300006</v>
      </c>
      <c r="D13" s="101">
        <f t="shared" ref="D13:M13" si="4">IF(D6="","",(D9-D10+D12))</f>
        <v>1019307596.0000002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863038653</v>
      </c>
      <c r="D14" s="92">
        <v>701713632.36000001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15194992.810000001</v>
      </c>
      <c r="D17" s="92">
        <v>12415189.01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48923904</v>
      </c>
      <c r="D18" s="92">
        <v>52800637.210000001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1450854360.8200006</v>
      </c>
      <c r="D19" s="95">
        <f>IF(D6="","",D13-D14-MAX(D15,0)-MAX(D16,0)-D17-MAX(D18/(1-Fin_Analysis!$F$84),0))</f>
        <v>234777925.01666689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5.1796881487772088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0.15580822321969243</v>
      </c>
      <c r="D21" s="56">
        <f t="shared" si="6"/>
        <v>3.3796519974615018E-2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1088140770.6150005</v>
      </c>
      <c r="D22" s="95">
        <f>IF(D6="","",D19*(1-Fin_Analysis!$F$84))</f>
        <v>176083443.76250017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5.1796881487772088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104.15233070298973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0.48660635459513968</v>
      </c>
      <c r="D40" s="61">
        <f t="shared" si="21"/>
        <v>0.60694162732677759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0.17055682117844595</v>
      </c>
      <c r="D41" s="56">
        <f t="shared" si="22"/>
        <v>0.19741789227146811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0.12357639997060962</v>
      </c>
      <c r="D42" s="56">
        <f t="shared" si="23"/>
        <v>0.1346831836416241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2.1757339633768379E-3</v>
      </c>
      <c r="D44" s="56">
        <f t="shared" si="25"/>
        <v>2.3829053680425824E-3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9.3403926661713623E-3</v>
      </c>
      <c r="D45" s="56">
        <f>IF(D6="","",MAX(D18,0)/(1-Fin_Analysis!$F$84)/D6)</f>
        <v>1.3512364759267613E-2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0.20774429762625657</v>
      </c>
      <c r="D46" s="56">
        <f t="shared" si="26"/>
        <v>4.5062026632820024E-2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3.8055387710877916E-5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1.3849467482357697E-3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1497.0889591452844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1.0473134465000349E-2</v>
      </c>
      <c r="D53" s="56">
        <f t="shared" si="31"/>
        <v>5.2880563660823929E-2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9" zoomScaleNormal="100" workbookViewId="0">
      <selection activeCell="C108" sqref="C108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4047188.9777345182</v>
      </c>
      <c r="E6" s="56">
        <f>1-D6/D3</f>
        <v>0.68538393434598766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1.4996260147335462E-3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6983846860.7700005</v>
      </c>
      <c r="D74" s="130"/>
      <c r="E74" s="148">
        <f>C74</f>
        <v>6983846860.7700005</v>
      </c>
      <c r="F74" s="130"/>
    </row>
    <row r="75" spans="1:9" ht="15" customHeight="1" x14ac:dyDescent="0.4">
      <c r="B75" s="117" t="s">
        <v>109</v>
      </c>
      <c r="C75" s="95">
        <f>Data!C8</f>
        <v>3398384261.9699998</v>
      </c>
      <c r="D75" s="131">
        <f>C75/$C$74</f>
        <v>0.48660635459513968</v>
      </c>
      <c r="E75" s="148">
        <f>D75*E74</f>
        <v>3398384261.9699998</v>
      </c>
      <c r="F75" s="149">
        <f>E75/$E$74</f>
        <v>0.48660635459513968</v>
      </c>
    </row>
    <row r="76" spans="1:9" ht="15" customHeight="1" x14ac:dyDescent="0.4">
      <c r="B76" s="35" t="s">
        <v>96</v>
      </c>
      <c r="C76" s="118">
        <f>C74-C75</f>
        <v>3585462598.8000007</v>
      </c>
      <c r="D76" s="132"/>
      <c r="E76" s="150">
        <f>E74-E75</f>
        <v>3585462598.8000007</v>
      </c>
      <c r="F76" s="132"/>
    </row>
    <row r="77" spans="1:9" ht="15" customHeight="1" x14ac:dyDescent="0.4">
      <c r="B77" s="117" t="s">
        <v>133</v>
      </c>
      <c r="C77" s="95">
        <f>Data!C10-Data!C12</f>
        <v>1191142720.1700001</v>
      </c>
      <c r="D77" s="131">
        <f>C77/$C$74</f>
        <v>0.17055682117844595</v>
      </c>
      <c r="E77" s="148">
        <f>D77*E74</f>
        <v>1191142720.1700001</v>
      </c>
      <c r="F77" s="149">
        <f>E77/$E$74</f>
        <v>0.17055682117844595</v>
      </c>
    </row>
    <row r="78" spans="1:9" ht="15" customHeight="1" x14ac:dyDescent="0.4">
      <c r="B78" s="35" t="s">
        <v>97</v>
      </c>
      <c r="C78" s="118">
        <f>C76-C77</f>
        <v>2394319878.6300006</v>
      </c>
      <c r="D78" s="132"/>
      <c r="E78" s="150">
        <f>E76-E77</f>
        <v>2394319878.6300006</v>
      </c>
      <c r="F78" s="132"/>
    </row>
    <row r="79" spans="1:9" ht="15" customHeight="1" x14ac:dyDescent="0.4">
      <c r="B79" s="117" t="s">
        <v>129</v>
      </c>
      <c r="C79" s="95">
        <f>Data!C17</f>
        <v>15194992.810000001</v>
      </c>
      <c r="D79" s="131">
        <f>C79/$C$74</f>
        <v>2.1757339633768379E-3</v>
      </c>
      <c r="E79" s="148">
        <f>C79</f>
        <v>15194992.810000001</v>
      </c>
      <c r="F79" s="149">
        <f>E79/$E$74</f>
        <v>2.1757339633768379E-3</v>
      </c>
    </row>
    <row r="80" spans="1:9" ht="15" customHeight="1" x14ac:dyDescent="0.4">
      <c r="B80" s="28" t="s">
        <v>135</v>
      </c>
      <c r="C80" s="95">
        <f>Data!C14+MAX(Data!C15,0)</f>
        <v>863038653</v>
      </c>
      <c r="D80" s="131">
        <f>C80/$C$74</f>
        <v>0.12357639997060962</v>
      </c>
      <c r="E80" s="148">
        <f>D80*E74</f>
        <v>863038653</v>
      </c>
      <c r="F80" s="149">
        <f t="shared" ref="F80:F83" si="8">E80/$E$74</f>
        <v>0.12357639997060962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48923904</v>
      </c>
      <c r="D82" s="131">
        <f>C82/$C$74</f>
        <v>7.0052944996285213E-3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1467162328.8200006</v>
      </c>
      <c r="D83" s="133">
        <f>C83/$C$74</f>
        <v>0.21007939579279941</v>
      </c>
      <c r="E83" s="151">
        <f>E78-E79-E80-E81-E82</f>
        <v>1516086232.8200006</v>
      </c>
      <c r="F83" s="135">
        <f t="shared" si="8"/>
        <v>0.21708469029242794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1100371746.6150005</v>
      </c>
      <c r="D85" s="135">
        <f>C85/$C$74</f>
        <v>0.15755954684459955</v>
      </c>
      <c r="E85" s="153">
        <f>E83*(1-F84)</f>
        <v>1137064674.6150005</v>
      </c>
      <c r="F85" s="135">
        <f>E85/$E$74</f>
        <v>0.16281351771932095</v>
      </c>
    </row>
    <row r="86" spans="1:8" ht="15" customHeight="1" x14ac:dyDescent="0.4">
      <c r="B86" s="94" t="s">
        <v>174</v>
      </c>
      <c r="C86" s="159">
        <f>C85*Data!E3/Common_Shares</f>
        <v>0.37603996335445011</v>
      </c>
      <c r="D86" s="130"/>
      <c r="E86" s="161">
        <f>E85*Data!E3/Common_Shares</f>
        <v>0.38857936864446535</v>
      </c>
      <c r="F86" s="130"/>
    </row>
    <row r="87" spans="1:8" ht="15" customHeight="1" x14ac:dyDescent="0.4">
      <c r="B87" s="93" t="s">
        <v>175</v>
      </c>
      <c r="C87" s="162">
        <v>0.16</v>
      </c>
      <c r="D87" s="135">
        <f>C87/C86</f>
        <v>0.4254866918205345</v>
      </c>
      <c r="E87" s="160">
        <f>C87</f>
        <v>0.16</v>
      </c>
      <c r="F87" s="135">
        <f>E87/E86</f>
        <v>0.41175629204954944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3.7417627759632477E-2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5.3059747914936182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4">
      <c r="B95" s="1" t="s">
        <v>140</v>
      </c>
      <c r="C95" s="102">
        <f>D95*Common_Shares/Data!E3</f>
        <v>11042338238.033207</v>
      </c>
      <c r="D95" s="154">
        <f>PV(C92,D92,0,-F92)*Exchange_Rate</f>
        <v>3.7735978583156804</v>
      </c>
      <c r="E95" s="154">
        <f>PV(15%,D92,0,-F92)*Exchange_Rate</f>
        <v>2.8602954272451671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1316564.1403738977</v>
      </c>
      <c r="D97" s="197">
        <f>C97*Data!$E$3/Common_Shares</f>
        <v>4.499213403315444E-4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11043654802.17358</v>
      </c>
      <c r="D98" s="124">
        <f>MAX(C98*Data!$E$3/Common_Shares,0)</f>
        <v>3.7740477796560117</v>
      </c>
      <c r="E98" s="124">
        <f>E95*Exchange_Rate-D96+D97</f>
        <v>3.1017643739381415</v>
      </c>
      <c r="F98" s="124">
        <f>D98*1.25</f>
        <v>4.7175597245700143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7465371257.2756119</v>
      </c>
      <c r="D101" s="154">
        <f>E87/(C92-2%)*Exchange_Rate</f>
        <v>2.5512086643892178</v>
      </c>
      <c r="E101" s="124">
        <f>D101*(1-25%)</f>
        <v>1.9134064982919132</v>
      </c>
      <c r="F101" s="124">
        <f>D101*1.25</f>
        <v>3.1890108304865223</v>
      </c>
      <c r="H101" s="24" t="s">
        <v>222</v>
      </c>
    </row>
    <row r="102" spans="2:8" ht="15" customHeight="1" x14ac:dyDescent="0.4">
      <c r="H102" s="24"/>
    </row>
    <row r="103" spans="2:8" ht="15" customHeight="1" x14ac:dyDescent="0.4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226</v>
      </c>
      <c r="C104" s="102">
        <f>D104*Common_Shares/Data!E3</f>
        <v>9254513029.724596</v>
      </c>
      <c r="D104" s="154">
        <f>(D98+D101)/2</f>
        <v>3.1626282220226147</v>
      </c>
      <c r="E104" s="124">
        <f>D104*(1-25%)</f>
        <v>2.3719711665169609</v>
      </c>
      <c r="F104" s="124">
        <f>D104*1.25</f>
        <v>3.9532852775282685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