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472E62C-6540-4DF2-AB3E-E8EF038791E0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C10" i="2"/>
  <c r="E87" i="3" l="1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80" i="3" s="1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<sst xmlns="http://schemas.openxmlformats.org/spreadsheetml/2006/main" count="250" uniqueCount="230">
  <si>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</si>
  <si>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</si>
  <si>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</si>
  <si>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</si>
  <si>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</si>
  <si>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</si>
  <si>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</si>
  <si>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</si>
  <si>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</si>
  <si>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</si>
  <si>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</si>
  <si>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</si>
  <si>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</si>
  <si>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</si>
  <si>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</si>
  <si>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</si>
  <si>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</si>
  <si>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</si>
  <si>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</si>
  <si>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</si>
  <si>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</si>
  <si>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</si>
  <si>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</si>
  <si>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</si>
  <si>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</si>
  <si>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</si>
  <si>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</si>
  <si>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</si>
  <si>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</si>
  <si>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</si>
  <si>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</si>
  <si>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</si>
  <si>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</si>
  <si>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</si>
  <si>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</si>
  <si>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</si>
  <si>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</si>
  <si>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</si>
  <si>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</si>
  <si>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</si>
  <si>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</si>
  <si>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</si>
  <si>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</si>
  <si>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</si>
  <si>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</si>
  <si>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</si>
  <si>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</si>
  <si>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</si>
  <si>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</si>
  <si>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</si>
  <si>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</si>
  <si>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</si>
  <si>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</si>
  <si>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</si>
  <si>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</si>
  <si>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</si>
  <si>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</si>
  <si>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</si>
  <si>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</si>
  <si>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</si>
  <si>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</si>
  <si>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</si>
  <si>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</si>
  <si>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</si>
  <si>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</si>
  <si>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</si>
  <si>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</si>
  <si>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</si>
  <si>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</si>
  <si>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</si>
  <si>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</si>
  <si>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</si>
  <si>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</si>
  <si>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</si>
  <si>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</si>
  <si>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</si>
  <si>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</si>
  <si>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</si>
  <si>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</si>
  <si>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</si>
  <si>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</si>
  <si>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</si>
  <si>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</si>
  <si>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</si>
  <si>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</si>
  <si>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</si>
  <si>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</si>
  <si>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</si>
  <si>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</si>
  <si>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</si>
  <si>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</si>
  <si>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</si>
  <si>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</si>
  <si>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</si>
  <si>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</si>
  <si>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</si>
  <si>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</si>
  <si>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</si>
  <si>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</si>
  <si>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</si>
  <si>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</si>
  <si>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</si>
  <si>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</si>
  <si>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</si>
  <si>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</si>
  <si>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</si>
  <si>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</si>
  <si>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</si>
  <si>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</si>
  <si>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</si>
  <si>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</si>
  <si>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</si>
  <si>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</si>
  <si>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</si>
  <si>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</si>
  <si>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</si>
  <si>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</si>
  <si>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</si>
  <si>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</si>
  <si>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</si>
  <si>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</si>
  <si>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</si>
  <si>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</si>
  <si>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</si>
  <si>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</si>
  <si>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</si>
  <si>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</si>
  <si>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</si>
  <si>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</si>
  <si>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</si>
  <si>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</si>
  <si>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</si>
  <si>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</si>
  <si>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</si>
  <si>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</si>
  <si>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</si>
  <si>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</si>
  <si>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</si>
  <si>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</si>
  <si>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</si>
  <si>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</si>
  <si>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</si>
  <si>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</si>
  <si>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</si>
  <si>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</si>
  <si>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</si>
  <si>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</si>
  <si>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</si>
  <si>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</si>
  <si>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</si>
  <si>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</si>
  <si>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</si>
  <si>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</si>
  <si>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</si>
  <si>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</si>
  <si>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</si>
  <si>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</si>
  <si>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</si>
  <si>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</si>
  <si>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</si>
  <si>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</si>
  <si>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</si>
  <si>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</si>
  <si>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</si>
  <si>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</si>
  <si>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</si>
  <si>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</si>
  <si>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</si>
  <si>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</si>
  <si>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</si>
  <si>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</si>
  <si>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</si>
  <si>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</si>
  <si>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</si>
  <si>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</si>
  <si>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</si>
  <si>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</si>
  <si>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</si>
  <si>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</si>
  <si>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</si>
  <si>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</si>
  <si>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</si>
  <si>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</si>
  <si>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</si>
  <si>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</si>
  <si>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</si>
  <si>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</si>
  <si>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</si>
  <si>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</si>
  <si>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</si>
  <si>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</si>
  <si>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</si>
  <si>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</si>
  <si>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</si>
  <si>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</si>
  <si>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</si>
  <si>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</si>
  <si>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</si>
  <si>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</si>
  <si>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</si>
  <si>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</si>
  <si>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</si>
  <si>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</si>
  <si>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</si>
  <si>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</si>
  <si>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</si>
  <si>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</si>
  <si>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</si>
  <si>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</si>
  <si>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</si>
  <si>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</si>
  <si>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</si>
  <si>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</si>
  <si>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</si>
  <si>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</si>
  <si>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</si>
  <si>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</si>
  <si>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</si>
  <si>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</si>
  <si>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</si>
  <si>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</si>
  <si>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</si>
  <si>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</si>
  <si>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</si>
  <si>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</si>
  <si>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京东方精电</t>
    <phoneticPr fontId="20" type="noConversion"/>
  </si>
  <si>
    <t>0710.HK</t>
    <phoneticPr fontId="20" type="noConversion"/>
  </si>
  <si>
    <t>CNY</t>
  </si>
  <si>
    <t>CN</t>
  </si>
  <si>
    <t>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</si>
</sst>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8" sqref="D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6.2399997711181641</v>
      </c>
      <c r="H3" s="173" t="s">
        <v>2</v>
      </c>
    </row>
    <row r="4" spans="1:10" ht="15.75" customHeight="1" x14ac:dyDescent="0.5">
      <c r="B4" s="35" t="s">
        <v>223</v>
      </c>
      <c r="C4" s="201" t="s">
        <v>225</v>
      </c>
      <c r="D4" s="202"/>
      <c r="E4" s="94"/>
      <c r="F4" s="3" t="s">
        <v>3</v>
      </c>
      <c r="G4" s="205">
        <v>791575204</v>
      </c>
      <c r="H4" s="205"/>
      <c r="I4" s="39"/>
    </row>
    <row r="5" spans="1:10" ht="15.75" customHeight="1" x14ac:dyDescent="0.4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4939.4290917828139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227</v>
      </c>
      <c r="H6" s="198"/>
      <c r="I6" s="38"/>
    </row>
    <row r="7" spans="1:10" ht="15.75" customHeight="1" x14ac:dyDescent="0.4">
      <c r="B7" s="93" t="s">
        <v>220</v>
      </c>
      <c r="C7" s="190" t="s">
        <v>71</v>
      </c>
      <c r="D7" s="196" t="s">
        <v>229</v>
      </c>
      <c r="E7" s="94"/>
      <c r="F7" s="35" t="s">
        <v>6</v>
      </c>
      <c r="G7" s="172">
        <v>1.0842636823654175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8.8000000000000009E-2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0.8649634921177769</v>
      </c>
      <c r="F20" s="181" t="s">
        <v>195</v>
      </c>
      <c r="G20" s="178">
        <f>Fin_Analysis!F91</f>
        <v>-7.1637486242843537E-2</v>
      </c>
    </row>
    <row r="21" spans="1:8" ht="15.75" customHeight="1" x14ac:dyDescent="0.4">
      <c r="B21" s="177" t="s">
        <v>188</v>
      </c>
      <c r="C21" s="178">
        <f>Fin_Analysis!F77</f>
        <v>0.13052664506651043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2.3437755566327548E-3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4.7067232344920495E-2</v>
      </c>
      <c r="F23" s="181" t="s">
        <v>214</v>
      </c>
      <c r="G23" s="188">
        <f>G3/(Data!C34*Data!E3/Common_Shares*Exchange_Rate)</f>
        <v>1.031411446141395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-8.096094389142762E-2</v>
      </c>
    </row>
    <row r="25" spans="1:8" ht="15.75" customHeight="1" x14ac:dyDescent="0.4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-0.3395324238857797</v>
      </c>
    </row>
    <row r="26" spans="1:8" ht="15.75" customHeight="1" x14ac:dyDescent="0.4">
      <c r="B26" s="179" t="s">
        <v>193</v>
      </c>
      <c r="C26" s="178">
        <f>Fin_Analysis!F83</f>
        <v>-4.5701145085840549E-2</v>
      </c>
      <c r="F26" s="183" t="s">
        <v>221</v>
      </c>
      <c r="G26" s="182">
        <f>Fin_Analysis!E87*Exchange_Rate/G3</f>
        <v>2.7488865519537026E-2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0</v>
      </c>
      <c r="D29" s="167">
        <f>IF(Fin_Analysis!C103="Profit",Fin_Analysis!F98,Fin_Analysis!F101)</f>
        <v>0</v>
      </c>
      <c r="E29" s="94"/>
      <c r="F29" s="169">
        <f>IF(Fin_Analysis!C103="Profit",Fin_Analysis!D98,Fin_Analysis!D101)</f>
        <v>0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10760416</v>
      </c>
      <c r="D6" s="58">
        <v>10722361</v>
      </c>
      <c r="E6" s="58">
        <v>7737943</v>
      </c>
      <c r="F6" s="58">
        <v>4526914</v>
      </c>
      <c r="G6" s="58">
        <v>3573978</v>
      </c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3.5491250481121117E-3</v>
      </c>
      <c r="D7" s="103">
        <f t="shared" si="1"/>
        <v>0.38568622177754475</v>
      </c>
      <c r="E7" s="103">
        <f t="shared" si="1"/>
        <v>0.70931963805806775</v>
      </c>
      <c r="F7" s="103">
        <f t="shared" si="1"/>
        <v>0.266631747593298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9307367</v>
      </c>
      <c r="D8" s="92">
        <v>9290616</v>
      </c>
      <c r="E8" s="92">
        <v>7340712</v>
      </c>
      <c r="F8" s="92">
        <v>4204600</v>
      </c>
      <c r="G8" s="92">
        <v>3214958</v>
      </c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1453049</v>
      </c>
      <c r="D9" s="101">
        <f t="shared" si="2"/>
        <v>1431745</v>
      </c>
      <c r="E9" s="101">
        <f t="shared" si="2"/>
        <v>397231</v>
      </c>
      <c r="F9" s="101">
        <f t="shared" si="2"/>
        <v>322314</v>
      </c>
      <c r="G9" s="101">
        <f t="shared" si="2"/>
        <v>359020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938819+202110+465702</f>
        <v>1606631</v>
      </c>
      <c r="D10" s="92">
        <f>680018+165770+444527</f>
        <v>1290315</v>
      </c>
      <c r="E10" s="92">
        <v>359473</v>
      </c>
      <c r="F10" s="92">
        <v>228660</v>
      </c>
      <c r="G10" s="92">
        <v>271638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1.8782731076568044E-2</v>
      </c>
      <c r="D11" s="97">
        <f t="shared" si="3"/>
        <v>1.5460214406136857E-2</v>
      </c>
      <c r="E11" s="97">
        <f t="shared" si="3"/>
        <v>3.1920628001524433E-2</v>
      </c>
      <c r="F11" s="97">
        <f t="shared" si="3"/>
        <v>1.237045810898992E-2</v>
      </c>
      <c r="G11" s="97">
        <f t="shared" si="3"/>
        <v>1.9306218449022351E-2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202110</v>
      </c>
      <c r="D12" s="92">
        <v>165770</v>
      </c>
      <c r="E12" s="92">
        <v>247000</v>
      </c>
      <c r="F12" s="92">
        <v>56000</v>
      </c>
      <c r="G12" s="92">
        <v>69000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48528</v>
      </c>
      <c r="D13" s="101">
        <f t="shared" ref="D13:M13" si="4">IF(D6="","",(D9-D10+D12))</f>
        <v>307200</v>
      </c>
      <c r="E13" s="101">
        <f t="shared" si="4"/>
        <v>284758</v>
      </c>
      <c r="F13" s="101">
        <f t="shared" si="4"/>
        <v>149654</v>
      </c>
      <c r="G13" s="101">
        <f t="shared" si="4"/>
        <v>156382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506463</v>
      </c>
      <c r="D15" s="92">
        <v>1177151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-563737</v>
      </c>
      <c r="D16" s="92">
        <v>193859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25220</v>
      </c>
      <c r="D17" s="92">
        <v>12361</v>
      </c>
      <c r="E17" s="92">
        <v>915</v>
      </c>
      <c r="F17" s="92">
        <v>578</v>
      </c>
      <c r="G17" s="92">
        <v>538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5821</v>
      </c>
      <c r="D18" s="92">
        <v>22881</v>
      </c>
      <c r="E18" s="92">
        <v>313201</v>
      </c>
      <c r="F18" s="92">
        <v>57218</v>
      </c>
      <c r="G18" s="92">
        <v>0</v>
      </c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-490916.33333333331</v>
      </c>
      <c r="D19" s="95">
        <f>IF(D6="","",D13-D14-MAX(D15,0)-MAX(D16,0)-D17-MAX(D18/(1-Fin_Analysis!$F$84),0))</f>
        <v>-1106679</v>
      </c>
      <c r="E19" s="95">
        <f>IF(E6="","",E13-E14-MAX(E15,0)-MAX(E16,0)-E17-MAX(E18/(1-Fin_Analysis!$F$84),0))</f>
        <v>-133758.33333333331</v>
      </c>
      <c r="F19" s="95">
        <f>IF(F6="","",F13-F14-MAX(F15,0)-MAX(F16,0)-F17-MAX(F18/(1-Fin_Analysis!$F$84),0))</f>
        <v>72785.333333333328</v>
      </c>
      <c r="G19" s="95">
        <f>IF(G6="","",G13-G14-MAX(G15,0)-MAX(G16,0)-G17-MAX(G18/(1-Fin_Analysis!$F$84),0))</f>
        <v>155844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0.55640584728423215</v>
      </c>
      <c r="D20" s="57">
        <f t="shared" ref="D20:M20" si="5">IF(E19="","",IF(ABS(D19+E19)=ABS(D19)+ABS(E19),IF(D19&lt;0,-1,1)*(D19-E19)/E19,"Turn"))</f>
        <v>-7.2737200174443979</v>
      </c>
      <c r="E20" s="57" t="str">
        <f t="shared" si="5"/>
        <v>Turn</v>
      </c>
      <c r="F20" s="57">
        <f t="shared" si="5"/>
        <v>-0.53296031073808858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-3.4216823029890292E-2</v>
      </c>
      <c r="D21" s="56">
        <f t="shared" si="6"/>
        <v>-7.7409187211659819E-2</v>
      </c>
      <c r="E21" s="56">
        <f t="shared" si="6"/>
        <v>-1.2964524292825623E-2</v>
      </c>
      <c r="F21" s="56">
        <f t="shared" si="6"/>
        <v>1.2058766744850907E-2</v>
      </c>
      <c r="G21" s="56">
        <f t="shared" si="6"/>
        <v>3.2703894651841731E-2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-368187.25</v>
      </c>
      <c r="D22" s="95">
        <f>IF(D6="","",D19*(1-Fin_Analysis!$F$84))</f>
        <v>-830009.25</v>
      </c>
      <c r="E22" s="95">
        <f>IF(E6="","",E19*(1-Fin_Analysis!$F$84))</f>
        <v>-100318.74999999999</v>
      </c>
      <c r="F22" s="95">
        <f>IF(F6="","",F19*(1-Fin_Analysis!$F$84))</f>
        <v>54589</v>
      </c>
      <c r="G22" s="95">
        <f>IF(G6="","",G19*(1-Fin_Analysis!$F$84))</f>
        <v>116883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0.55640584728423204</v>
      </c>
      <c r="D23" s="80">
        <f t="shared" ref="D23:M23" si="7">IF(E22="","",IF(ABS(D22+E22)=ABS(D22)+ABS(E22),IF(D22&lt;0,-1,1)*(D22-E22)/E22,"Turn"))</f>
        <v>-7.273720017444397</v>
      </c>
      <c r="E23" s="80" t="str">
        <f t="shared" si="7"/>
        <v>Turn</v>
      </c>
      <c r="F23" s="80">
        <f t="shared" si="7"/>
        <v>-0.53296031073808847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10808428</v>
      </c>
      <c r="D25" s="41">
        <f t="shared" si="17"/>
        <v>0</v>
      </c>
      <c r="E25" s="41">
        <f t="shared" si="17"/>
        <v>0</v>
      </c>
      <c r="F25" s="41">
        <f t="shared" si="17"/>
        <v>0</v>
      </c>
      <c r="G25" s="41">
        <f t="shared" si="17"/>
        <v>0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8572255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2820142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1802858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5753095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638511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186372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449467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635839</v>
      </c>
      <c r="D33" s="95">
        <f t="shared" si="18"/>
        <v>0</v>
      </c>
      <c r="E33" s="95">
        <f t="shared" si="18"/>
        <v>0</v>
      </c>
      <c r="F33" s="95">
        <f t="shared" si="18"/>
        <v>0</v>
      </c>
      <c r="G33" s="95">
        <f t="shared" si="18"/>
        <v>0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4416822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59393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3943819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6864609</v>
      </c>
      <c r="D37" s="41">
        <f t="shared" ref="D37:M37" si="19">IF(D6="","",D25-D36)</f>
        <v>0</v>
      </c>
      <c r="E37" s="41">
        <f t="shared" si="19"/>
        <v>0</v>
      </c>
      <c r="F37" s="41">
        <f t="shared" si="19"/>
        <v>0</v>
      </c>
      <c r="G37" s="41">
        <f t="shared" si="19"/>
        <v>0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-7.1514099831954489E-2</v>
      </c>
      <c r="D38" s="104" t="e">
        <f t="shared" ref="D38:M38" si="20">IF(D6="","",D19/D37)</f>
        <v>#DIV/0!</v>
      </c>
      <c r="E38" s="104" t="e">
        <f t="shared" si="20"/>
        <v>#DIV/0!</v>
      </c>
      <c r="F38" s="104" t="e">
        <f t="shared" si="20"/>
        <v>#DIV/0!</v>
      </c>
      <c r="G38" s="104" t="e">
        <f t="shared" si="20"/>
        <v>#DIV/0!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0.8649634921177769</v>
      </c>
      <c r="D40" s="61">
        <f t="shared" si="21"/>
        <v>0.86647110650350234</v>
      </c>
      <c r="E40" s="61">
        <f t="shared" si="21"/>
        <v>0.94866452234140264</v>
      </c>
      <c r="F40" s="61">
        <f t="shared" si="21"/>
        <v>0.92880050294748251</v>
      </c>
      <c r="G40" s="61">
        <f t="shared" si="21"/>
        <v>0.89954610800626078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0.13052664506651043</v>
      </c>
      <c r="D41" s="56">
        <f t="shared" si="22"/>
        <v>0.10487848711678333</v>
      </c>
      <c r="E41" s="56">
        <f t="shared" si="22"/>
        <v>1.4535258272127359E-2</v>
      </c>
      <c r="F41" s="56">
        <f t="shared" si="22"/>
        <v>3.8140773162467854E-2</v>
      </c>
      <c r="G41" s="56">
        <f t="shared" si="22"/>
        <v>5.6698166580767984E-2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4.7067232344920495E-2</v>
      </c>
      <c r="D42" s="56">
        <f t="shared" si="23"/>
        <v>0.10978468268322621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1.8079879981657027E-2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2.3437755566327548E-3</v>
      </c>
      <c r="D44" s="56">
        <f t="shared" si="25"/>
        <v>1.152824457225419E-3</v>
      </c>
      <c r="E44" s="56">
        <f t="shared" si="25"/>
        <v>1.1824848024856219E-4</v>
      </c>
      <c r="F44" s="56">
        <f t="shared" si="25"/>
        <v>1.2768079976778883E-4</v>
      </c>
      <c r="G44" s="56">
        <f t="shared" si="25"/>
        <v>1.505325438488989E-4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7.2128562067984476E-4</v>
      </c>
      <c r="D45" s="56">
        <f>IF(D6="","",MAX(D18,0)/(1-Fin_Analysis!$F$84)/D6)</f>
        <v>2.8452688731520977E-3</v>
      </c>
      <c r="E45" s="56">
        <f>IF(E6="","",MAX(E18,0)/(1-Fin_Analysis!$F$84)/E6)</f>
        <v>5.3968003296655624E-2</v>
      </c>
      <c r="F45" s="56">
        <f>IF(F6="","",MAX(F18,0)/(1-Fin_Analysis!$F$84)/F6)</f>
        <v>1.6852687430480604E-2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-4.5622430706520389E-2</v>
      </c>
      <c r="D46" s="56">
        <f t="shared" si="26"/>
        <v>-0.10321224961554643</v>
      </c>
      <c r="E46" s="56">
        <f t="shared" si="26"/>
        <v>-1.7286032390434164E-2</v>
      </c>
      <c r="F46" s="56">
        <f t="shared" si="26"/>
        <v>1.6078355659801209E-2</v>
      </c>
      <c r="G46" s="56">
        <f t="shared" si="26"/>
        <v>4.3605192869122303E-2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0.26208484876421134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0.16754538114511558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0.59135389531206572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-0.77207647428568127</v>
      </c>
      <c r="D52" s="60" t="str">
        <f t="shared" si="30"/>
        <v>-</v>
      </c>
      <c r="E52" s="60" t="str">
        <f t="shared" si="30"/>
        <v>-</v>
      </c>
      <c r="F52" s="60" t="str">
        <f t="shared" si="30"/>
        <v>-</v>
      </c>
      <c r="G52" s="60" t="str">
        <f t="shared" si="30"/>
        <v>-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-5.1373316159101109E-2</v>
      </c>
      <c r="D53" s="56">
        <f t="shared" si="31"/>
        <v>-1.1169453834400038E-2</v>
      </c>
      <c r="E53" s="56">
        <f t="shared" si="31"/>
        <v>-6.8406952837829433E-3</v>
      </c>
      <c r="F53" s="56">
        <f t="shared" si="31"/>
        <v>7.9411603070215619E-3</v>
      </c>
      <c r="G53" s="56">
        <f t="shared" si="31"/>
        <v>3.4521701188367855E-3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1.4900249344048726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88" zoomScaleNormal="100" workbookViewId="0">
      <selection activeCell="D99" sqref="D99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4416822</v>
      </c>
      <c r="E3" s="73" t="str">
        <f>IF((C49-I49)=D3,"", "Error!")</f>
        <v/>
      </c>
      <c r="F3" s="94"/>
      <c r="G3" s="94"/>
      <c r="H3" s="47" t="s">
        <v>24</v>
      </c>
      <c r="I3" s="59">
        <v>4357429</v>
      </c>
      <c r="K3" s="24"/>
    </row>
    <row r="4" spans="1:11" ht="15" customHeight="1" x14ac:dyDescent="0.4">
      <c r="B4" s="3" t="s">
        <v>25</v>
      </c>
      <c r="C4" s="94"/>
      <c r="D4" s="69">
        <f>D3-I3</f>
        <v>59393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1.4900249344048726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639520.82997932343</v>
      </c>
      <c r="E6" s="56">
        <f>1-D6/D3</f>
        <v>0.85520792325809747</v>
      </c>
      <c r="F6" s="94"/>
      <c r="G6" s="94"/>
      <c r="H6" s="1" t="s">
        <v>30</v>
      </c>
      <c r="I6" s="67">
        <f>(C24+C25)/I28</f>
        <v>1.1756650985252286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0.87598652226449647</v>
      </c>
      <c r="E7" s="11" t="str">
        <f>Dashboard!H3</f>
        <v>HKD</v>
      </c>
      <c r="H7" s="1" t="s">
        <v>31</v>
      </c>
      <c r="I7" s="67">
        <f>C24/I28</f>
        <v>1.1756650985252286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3496104</v>
      </c>
      <c r="D11" s="64">
        <v>1</v>
      </c>
      <c r="E11" s="95">
        <f t="shared" ref="E11:E21" si="0">C11*D11</f>
        <v>3496104</v>
      </c>
      <c r="F11" s="127"/>
      <c r="G11" s="94"/>
      <c r="H11" s="3" t="s">
        <v>39</v>
      </c>
      <c r="I11" s="63">
        <v>174488</v>
      </c>
      <c r="J11" s="94"/>
      <c r="K11" s="24"/>
    </row>
    <row r="12" spans="1:11" ht="13.9" x14ac:dyDescent="0.4">
      <c r="B12" s="1" t="s">
        <v>148</v>
      </c>
      <c r="C12" s="63">
        <v>41635</v>
      </c>
      <c r="D12" s="64">
        <v>0.95</v>
      </c>
      <c r="E12" s="95">
        <f t="shared" si="0"/>
        <v>39553.25</v>
      </c>
      <c r="F12" s="127"/>
      <c r="G12" s="94"/>
      <c r="H12" s="3" t="s">
        <v>40</v>
      </c>
      <c r="I12" s="63">
        <v>11884</v>
      </c>
      <c r="J12" s="94"/>
      <c r="K12" s="24"/>
    </row>
    <row r="13" spans="1:11" ht="13.9" x14ac:dyDescent="0.4">
      <c r="B13" s="3" t="s">
        <v>121</v>
      </c>
      <c r="C13" s="63">
        <v>2820142</v>
      </c>
      <c r="D13" s="64">
        <v>0.8</v>
      </c>
      <c r="E13" s="95">
        <f t="shared" si="0"/>
        <v>2256113.6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405832</v>
      </c>
      <c r="D14" s="64">
        <v>0.3</v>
      </c>
      <c r="E14" s="95">
        <f>C14*D14</f>
        <v>121749.59999999999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186372</v>
      </c>
      <c r="J15" s="94"/>
    </row>
    <row r="16" spans="1:11" ht="13.9" x14ac:dyDescent="0.4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1802858</v>
      </c>
      <c r="D18" s="64">
        <v>0.5</v>
      </c>
      <c r="E18" s="95">
        <f t="shared" si="0"/>
        <v>901429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5684</v>
      </c>
      <c r="D21" s="64">
        <v>0.95</v>
      </c>
      <c r="E21" s="95">
        <f t="shared" si="0"/>
        <v>5399.8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5566723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6763713</v>
      </c>
      <c r="D24" s="66">
        <f>IF(E24=0,0,E24/C24)</f>
        <v>0.8743009128270226</v>
      </c>
      <c r="E24" s="95">
        <f>SUM(E11:E14)</f>
        <v>5913520.4499999993</v>
      </c>
      <c r="F24" s="129">
        <f>E24/$E$28</f>
        <v>0.86704070909565223</v>
      </c>
      <c r="G24" s="94"/>
    </row>
    <row r="25" spans="2:10" ht="15" customHeight="1" x14ac:dyDescent="0.4">
      <c r="B25" s="23" t="s">
        <v>55</v>
      </c>
      <c r="C25" s="65">
        <f>SUM(C15:C17)</f>
        <v>0</v>
      </c>
      <c r="D25" s="66">
        <f>IF(E25=0,0,E25/C25)</f>
        <v>0</v>
      </c>
      <c r="E25" s="95">
        <f>SUM(E15:E17)</f>
        <v>0</v>
      </c>
      <c r="F25" s="129">
        <f t="shared" ref="F25:F27" si="2">E25/$E$28</f>
        <v>0</v>
      </c>
      <c r="G25" s="94"/>
      <c r="H25" s="23" t="s">
        <v>56</v>
      </c>
      <c r="I25" s="67">
        <f>E28/I28</f>
        <v>1.1855095822335628</v>
      </c>
    </row>
    <row r="26" spans="2:10" ht="15" customHeight="1" x14ac:dyDescent="0.4">
      <c r="B26" s="23" t="s">
        <v>57</v>
      </c>
      <c r="C26" s="65">
        <f>C18+C19+C20</f>
        <v>1802858</v>
      </c>
      <c r="D26" s="66">
        <f t="shared" ref="D26:D27" si="3">IF(E26=0,0,E26/C26)</f>
        <v>0.5</v>
      </c>
      <c r="E26" s="95">
        <f>E18+E19+E20</f>
        <v>901429</v>
      </c>
      <c r="F26" s="129">
        <f t="shared" si="2"/>
        <v>0.13216757191722991</v>
      </c>
      <c r="G26" s="94"/>
      <c r="H26" s="23" t="s">
        <v>58</v>
      </c>
      <c r="I26" s="67">
        <f>E24/($I$28-I22)</f>
        <v>31.729661376172384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5684</v>
      </c>
      <c r="D27" s="66">
        <f t="shared" si="3"/>
        <v>0.95000000000000007</v>
      </c>
      <c r="E27" s="95">
        <f>E21+E22</f>
        <v>5399.8</v>
      </c>
      <c r="F27" s="129">
        <f t="shared" si="2"/>
        <v>7.9171898711785193E-4</v>
      </c>
      <c r="G27" s="94"/>
      <c r="H27" s="23" t="s">
        <v>60</v>
      </c>
      <c r="I27" s="67">
        <f>(E25+E24)/$I$28</f>
        <v>1.0278850688194787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8572255</v>
      </c>
      <c r="D28" s="61">
        <f t="shared" ref="D28" si="4">E28/C28</f>
        <v>0.79563070043996575</v>
      </c>
      <c r="E28" s="76">
        <f>SUM(E24:E27)</f>
        <v>6820349.2499999991</v>
      </c>
      <c r="F28" s="127"/>
      <c r="G28" s="94"/>
      <c r="H28" s="85" t="s">
        <v>16</v>
      </c>
      <c r="I28" s="72">
        <v>5753095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432202</v>
      </c>
      <c r="J30" s="94"/>
    </row>
    <row r="31" spans="2:10" ht="15" customHeight="1" x14ac:dyDescent="0.4">
      <c r="B31" s="3" t="s">
        <v>63</v>
      </c>
      <c r="C31" s="63">
        <v>41883</v>
      </c>
      <c r="D31" s="64">
        <v>0.5</v>
      </c>
      <c r="E31" s="95">
        <f t="shared" ref="E31:E42" si="5">C31*D31</f>
        <v>20941.5</v>
      </c>
      <c r="F31" s="127"/>
      <c r="G31" s="94"/>
      <c r="H31" s="3" t="s">
        <v>64</v>
      </c>
      <c r="I31" s="63">
        <v>17265</v>
      </c>
      <c r="J31" s="94"/>
    </row>
    <row r="32" spans="2:10" ht="15" customHeight="1" x14ac:dyDescent="0.4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449467</v>
      </c>
      <c r="J34" s="94"/>
    </row>
    <row r="35" spans="2:10" ht="13.9" x14ac:dyDescent="0.4">
      <c r="B35" s="3" t="s">
        <v>70</v>
      </c>
      <c r="C35" s="63">
        <v>0</v>
      </c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2128034</v>
      </c>
      <c r="D38" s="64">
        <v>0.1</v>
      </c>
      <c r="E38" s="95">
        <f>C38*D38</f>
        <v>212803.40000000002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27391</v>
      </c>
      <c r="D40" s="64">
        <v>0.05</v>
      </c>
      <c r="E40" s="95">
        <f t="shared" si="5"/>
        <v>1369.5500000000002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38865</v>
      </c>
      <c r="D41" s="64">
        <v>0.95</v>
      </c>
      <c r="E41" s="95">
        <f t="shared" si="5"/>
        <v>36921.75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189044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41883</v>
      </c>
      <c r="D44" s="66">
        <f>IF(E44=0,0,E44/C44)</f>
        <v>0.5</v>
      </c>
      <c r="E44" s="95">
        <f>SUM(E30:E31)</f>
        <v>20941.5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2128034</v>
      </c>
      <c r="D46" s="66">
        <f t="shared" ref="D46:D47" si="6">IF(E46=0,0,E46/C46)</f>
        <v>0.1</v>
      </c>
      <c r="E46" s="95">
        <f>E36+E37+E38+E39</f>
        <v>212803.40000000002</v>
      </c>
      <c r="F46" s="94"/>
      <c r="G46" s="94"/>
      <c r="H46" s="23" t="s">
        <v>81</v>
      </c>
      <c r="I46" s="67">
        <f>(E44+E24)/E64</f>
        <v>9.3332776850743659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66256</v>
      </c>
      <c r="D47" s="66">
        <f t="shared" si="6"/>
        <v>0.57792954600338087</v>
      </c>
      <c r="E47" s="95">
        <f>E40+E41+E42</f>
        <v>38291.300000000003</v>
      </c>
      <c r="F47" s="94"/>
      <c r="G47" s="94"/>
      <c r="H47" s="23" t="s">
        <v>83</v>
      </c>
      <c r="I47" s="67">
        <f>(E44+E45+E24+E25)/$I$49</f>
        <v>0.92847743587448905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2236173</v>
      </c>
      <c r="D48" s="89">
        <f>E48/C48</f>
        <v>0.12165257339213022</v>
      </c>
      <c r="E48" s="83">
        <f>SUM(E30:E42)</f>
        <v>272036.2</v>
      </c>
      <c r="F48" s="94"/>
      <c r="G48" s="94"/>
      <c r="H48" s="87" t="s">
        <v>85</v>
      </c>
      <c r="I48" s="90">
        <v>638511</v>
      </c>
      <c r="J48" s="8"/>
    </row>
    <row r="49" spans="2:10" ht="15" customHeight="1" thickTop="1" x14ac:dyDescent="0.4">
      <c r="B49" s="3" t="s">
        <v>14</v>
      </c>
      <c r="C49" s="65">
        <f>C28+C48</f>
        <v>10808428</v>
      </c>
      <c r="D49" s="56">
        <f>E49/C49</f>
        <v>0.65619028502572241</v>
      </c>
      <c r="E49" s="95">
        <f>E28+E48</f>
        <v>7092385.4499999993</v>
      </c>
      <c r="F49" s="94"/>
      <c r="G49" s="94"/>
      <c r="H49" s="3" t="s">
        <v>86</v>
      </c>
      <c r="I49" s="52">
        <f>I28+I48</f>
        <v>6391606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59393</v>
      </c>
      <c r="D53" s="29">
        <f>IF(E53=0, 0,E53/C53)</f>
        <v>1.031411446141395</v>
      </c>
      <c r="E53" s="95">
        <f>MAX(C53,C53*Dashboard!G23)</f>
        <v>61258.620020675873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635839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447715</v>
      </c>
      <c r="D61" s="56">
        <f t="shared" ref="D61:D70" si="7">IF(E61=0,0,E61/C61)</f>
        <v>0.3187096702143104</v>
      </c>
      <c r="E61" s="52">
        <f>E14+E15+(E19*G19)+(E20*G20)+E31+E32+(E35*G35)+(E36*G36)+(E37*G37)</f>
        <v>142691.09999999998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3496104</v>
      </c>
      <c r="D62" s="122">
        <f t="shared" si="7"/>
        <v>1</v>
      </c>
      <c r="E62" s="143">
        <f>E11+E30</f>
        <v>3496104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3943819</v>
      </c>
      <c r="D63" s="29">
        <f t="shared" si="7"/>
        <v>0.92265773353188874</v>
      </c>
      <c r="E63" s="65">
        <f>E61+E62</f>
        <v>3638795.1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635839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3307980</v>
      </c>
      <c r="D65" s="29">
        <f t="shared" si="7"/>
        <v>0.9077914920888277</v>
      </c>
      <c r="E65" s="65">
        <f>E63-E64</f>
        <v>3002956.1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6864609</v>
      </c>
      <c r="D68" s="29">
        <f t="shared" si="7"/>
        <v>0.50310081025736486</v>
      </c>
      <c r="E68" s="74">
        <f>E49-E63</f>
        <v>3453590.3499999992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5755767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1108842</v>
      </c>
      <c r="D70" s="29">
        <f t="shared" si="7"/>
        <v>-2.0761989985949314</v>
      </c>
      <c r="E70" s="74">
        <f>E68-E69</f>
        <v>-2302176.6500000008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10760416</v>
      </c>
      <c r="D74" s="130"/>
      <c r="E74" s="149">
        <f>C74</f>
        <v>10760416</v>
      </c>
      <c r="F74" s="130"/>
    </row>
    <row r="75" spans="1:9" ht="15" customHeight="1" x14ac:dyDescent="0.4">
      <c r="B75" s="117" t="s">
        <v>109</v>
      </c>
      <c r="C75" s="95">
        <f>Data!C8</f>
        <v>9307367</v>
      </c>
      <c r="D75" s="131">
        <f>C75/$C$74</f>
        <v>0.8649634921177769</v>
      </c>
      <c r="E75" s="149">
        <f>D75*E74</f>
        <v>9307367</v>
      </c>
      <c r="F75" s="150">
        <f>E75/$E$74</f>
        <v>0.8649634921177769</v>
      </c>
    </row>
    <row r="76" spans="1:9" ht="15" customHeight="1" x14ac:dyDescent="0.4">
      <c r="B76" s="35" t="s">
        <v>96</v>
      </c>
      <c r="C76" s="118">
        <f>C74-C75</f>
        <v>1453049</v>
      </c>
      <c r="D76" s="132"/>
      <c r="E76" s="151">
        <f>E74-E75</f>
        <v>1453049</v>
      </c>
      <c r="F76" s="132"/>
    </row>
    <row r="77" spans="1:9" ht="15" customHeight="1" x14ac:dyDescent="0.4">
      <c r="B77" s="117" t="s">
        <v>133</v>
      </c>
      <c r="C77" s="95">
        <f>Data!C10-Data!C12</f>
        <v>1404521</v>
      </c>
      <c r="D77" s="131">
        <f>C77/$C$74</f>
        <v>0.13052664506651043</v>
      </c>
      <c r="E77" s="149">
        <f>D77*E74</f>
        <v>1404521</v>
      </c>
      <c r="F77" s="150">
        <f>E77/$E$74</f>
        <v>0.13052664506651043</v>
      </c>
    </row>
    <row r="78" spans="1:9" ht="15" customHeight="1" x14ac:dyDescent="0.4">
      <c r="B78" s="35" t="s">
        <v>97</v>
      </c>
      <c r="C78" s="118">
        <f>C76-C77</f>
        <v>48528</v>
      </c>
      <c r="D78" s="132"/>
      <c r="E78" s="151">
        <f>E76-E77</f>
        <v>48528</v>
      </c>
      <c r="F78" s="132"/>
    </row>
    <row r="79" spans="1:9" ht="15" customHeight="1" x14ac:dyDescent="0.4">
      <c r="B79" s="117" t="s">
        <v>129</v>
      </c>
      <c r="C79" s="95">
        <f>Data!C17</f>
        <v>25220</v>
      </c>
      <c r="D79" s="131">
        <f>C79/$C$74</f>
        <v>2.3437755566327548E-3</v>
      </c>
      <c r="E79" s="149">
        <f>C79</f>
        <v>25220</v>
      </c>
      <c r="F79" s="150">
        <f>E79/$E$74</f>
        <v>2.3437755566327548E-3</v>
      </c>
    </row>
    <row r="80" spans="1:9" ht="15" customHeight="1" x14ac:dyDescent="0.4">
      <c r="B80" s="28" t="s">
        <v>135</v>
      </c>
      <c r="C80" s="95">
        <f>Data!C14+MAX(Data!C15,0)</f>
        <v>506463</v>
      </c>
      <c r="D80" s="131">
        <f>C80/$C$74</f>
        <v>4.7067232344920495E-2</v>
      </c>
      <c r="E80" s="149">
        <f>C80</f>
        <v>506463</v>
      </c>
      <c r="F80" s="150">
        <f t="shared" ref="F80:F83" si="8">E80/$E$74</f>
        <v>4.7067232344920495E-2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5821</v>
      </c>
      <c r="D82" s="131">
        <f>C82/$C$74</f>
        <v>5.409642155098836E-4</v>
      </c>
      <c r="E82" s="149">
        <f>E74*0.08%</f>
        <v>8608.3328000000001</v>
      </c>
      <c r="F82" s="150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-488976</v>
      </c>
      <c r="D83" s="133">
        <f>C83/$C$74</f>
        <v>-4.5442109301350432E-2</v>
      </c>
      <c r="E83" s="152">
        <f>E78-E79-E80-E81-E82</f>
        <v>-491763.33279999997</v>
      </c>
      <c r="F83" s="135">
        <f t="shared" si="8"/>
        <v>-4.5701145085840549E-2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4">
      <c r="B85" s="93" t="s">
        <v>181</v>
      </c>
      <c r="C85" s="118">
        <f>C83*(1-F84)</f>
        <v>-366732</v>
      </c>
      <c r="D85" s="135">
        <f>C85/$C$74</f>
        <v>-3.4081581976012826E-2</v>
      </c>
      <c r="E85" s="154">
        <f>E83*(1-F84)</f>
        <v>-368822.49959999998</v>
      </c>
      <c r="F85" s="135">
        <f>E85/$E$74</f>
        <v>-3.427585881438041E-2</v>
      </c>
    </row>
    <row r="86" spans="1:8" ht="15" customHeight="1" x14ac:dyDescent="0.4">
      <c r="B86" s="94" t="s">
        <v>176</v>
      </c>
      <c r="C86" s="161">
        <f>C85*Data!E3/Common_Shares</f>
        <v>-0.463293946231292</v>
      </c>
      <c r="D86" s="130"/>
      <c r="E86" s="163">
        <f>E85*Data!E3/Common_Shares</f>
        <v>-0.4659348824170596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>
        <f>C87/C86</f>
        <v>-0.34146787646782939</v>
      </c>
      <c r="E87" s="162">
        <f>C87</f>
        <v>0.15820000000000001</v>
      </c>
      <c r="F87" s="135">
        <f>E87/E86</f>
        <v>-0.3395324238857797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228</v>
      </c>
      <c r="D91" s="206" t="s">
        <v>172</v>
      </c>
      <c r="E91" s="206"/>
      <c r="F91" s="29">
        <f>E83/C68</f>
        <v>-7.1637486242843537E-2</v>
      </c>
      <c r="H91" s="187"/>
    </row>
    <row r="92" spans="1:8" ht="15" customHeight="1" x14ac:dyDescent="0.4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-5880894.7287575537</v>
      </c>
      <c r="D95" s="155">
        <f>C95*Data!$E$3/Common_Shares</f>
        <v>-7.4293569316473356</v>
      </c>
    </row>
    <row r="96" spans="1:8" ht="15" customHeight="1" x14ac:dyDescent="0.4">
      <c r="B96" s="28" t="s">
        <v>157</v>
      </c>
      <c r="C96" s="102">
        <f>E82*Exchange_Rate</f>
        <v>9333.7026207550043</v>
      </c>
      <c r="D96" s="155">
        <f>C96*Data!$E$3/Common_Shares</f>
        <v>1.1791302422801768E-2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759829.7069830111</v>
      </c>
      <c r="D97" s="156">
        <f>C97*Data!$E$3/Common_Shares</f>
        <v>0.9598957915096733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-5130398.7243952975</v>
      </c>
      <c r="D98" s="124">
        <f>MAX(C98*Data!$E$3/Common_Shares,0)</f>
        <v>0</v>
      </c>
      <c r="E98" s="124">
        <f>D98*(1-25%)</f>
        <v>0</v>
      </c>
      <c r="F98" s="124">
        <f>D98*1.25</f>
        <v>0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1996754.4418721572</v>
      </c>
      <c r="D101" s="155">
        <f>E87/(C92-F92)*Exchange_Rate</f>
        <v>2.5225075669148387</v>
      </c>
      <c r="E101" s="124">
        <f>D101*(1-25%)</f>
        <v>1.891880675186129</v>
      </c>
      <c r="F101" s="124">
        <f>D101*1.25</f>
        <v>3.1531344586435486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