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83CA21D-59F6-437D-8EBB-096D6F2FB565}" xr6:coauthVersionLast="47" xr6:coauthVersionMax="47" xr10:uidLastSave="{00000000-0000-0000-0000-000000000000}"/>
  <bookViews>
    <workbookView xWindow="2205" yWindow="2205" windowWidth="12690" windowHeight="764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7" i="3" l="1"/>
  <c r="C87" i="3"/>
  <c r="I14" i="3"/>
  <c r="I11" i="3"/>
  <c r="C16" i="3"/>
  <c r="C14" i="3"/>
  <c r="C12" i="3"/>
  <c r="C5" i="2"/>
  <c r="C6" i="2"/>
  <c r="C92" i="3" l="1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D101" i="3" l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D40" i="2" l="1"/>
  <c r="C20" i="2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72" i="3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<sst xmlns="http://schemas.openxmlformats.org/spreadsheetml/2006/main" count="261" uniqueCount="240">
  <si>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</si>
  <si>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</si>
  <si>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</si>
  <si>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</si>
  <si>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</si>
  <si>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</si>
  <si>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</si>
  <si>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</si>
  <si>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</si>
  <si>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</si>
  <si>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</si>
  <si>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</si>
  <si>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</si>
  <si>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</si>
  <si>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</si>
  <si>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</si>
  <si>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</si>
  <si>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</si>
  <si>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</si>
  <si>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</si>
  <si>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</si>
  <si>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</si>
  <si>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</si>
  <si>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</si>
  <si>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</si>
  <si>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</si>
  <si>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</si>
  <si>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</si>
  <si>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</si>
  <si>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</si>
  <si>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</si>
  <si>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</si>
  <si>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</si>
  <si>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</si>
  <si>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</si>
  <si>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</si>
  <si>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</si>
  <si>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</si>
  <si>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</si>
  <si>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</si>
  <si>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</si>
  <si>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</si>
  <si>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</si>
  <si>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</si>
  <si>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</si>
  <si>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</si>
  <si>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</si>
  <si>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</si>
  <si>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</si>
  <si>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</si>
  <si>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</si>
  <si>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</si>
  <si>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</si>
  <si>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</si>
  <si>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</si>
  <si>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</si>
  <si>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</si>
  <si>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</si>
  <si>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</si>
  <si>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</si>
  <si>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</si>
  <si>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</si>
  <si>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</si>
  <si>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</si>
  <si>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</si>
  <si>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</si>
  <si>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</si>
  <si>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</si>
  <si>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</si>
  <si>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</si>
  <si>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</si>
  <si>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</si>
  <si>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</si>
  <si>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</si>
  <si>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</si>
  <si>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</si>
  <si>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</si>
  <si>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</si>
  <si>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</si>
  <si>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</si>
  <si>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</si>
  <si>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</si>
  <si>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</si>
  <si>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</si>
  <si>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</si>
  <si>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</si>
  <si>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</si>
  <si>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</si>
  <si>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</si>
  <si>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</si>
  <si>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</si>
  <si>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</si>
  <si>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</si>
  <si>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</si>
  <si>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</si>
  <si>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</si>
  <si>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</si>
  <si>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</si>
  <si>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</si>
  <si>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</si>
  <si>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</si>
  <si>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</si>
  <si>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</si>
  <si>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</si>
  <si>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</si>
  <si>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</si>
  <si>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</si>
  <si>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</si>
  <si>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</si>
  <si>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</si>
  <si>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</si>
  <si>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</si>
  <si>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</si>
  <si>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</si>
  <si>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</si>
  <si>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</si>
  <si>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</si>
  <si>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</si>
  <si>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</si>
  <si>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</si>
  <si>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</si>
  <si>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</si>
  <si>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</si>
  <si>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</si>
  <si>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</si>
  <si>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</si>
  <si>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</si>
  <si>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</si>
  <si>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</si>
  <si>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</si>
  <si>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</si>
  <si>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</si>
  <si>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</si>
  <si>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</si>
  <si>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</si>
  <si>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</si>
  <si>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</si>
  <si>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</si>
  <si>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</si>
  <si>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</si>
  <si>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</si>
  <si>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</si>
  <si>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</si>
  <si>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</si>
  <si>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</si>
  <si>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</si>
  <si>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</si>
  <si>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</si>
  <si>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</si>
  <si>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</si>
  <si>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</si>
  <si>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</si>
  <si>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</si>
  <si>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</si>
  <si>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</si>
  <si>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</si>
  <si>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</si>
  <si>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</si>
  <si>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</si>
  <si>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</si>
  <si>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</si>
  <si>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</si>
  <si>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</si>
  <si>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</si>
  <si>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</si>
  <si>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</si>
  <si>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</si>
  <si>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</si>
  <si>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</si>
  <si>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</si>
  <si>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</si>
  <si>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</si>
  <si>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</si>
  <si>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</si>
  <si>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</si>
  <si>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</si>
  <si>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</si>
  <si>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</si>
  <si>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</si>
  <si>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</si>
  <si>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</si>
  <si>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</si>
  <si>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</si>
  <si>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</si>
  <si>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</si>
  <si>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</si>
  <si>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</si>
  <si>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</si>
  <si>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</si>
  <si>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</si>
  <si>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</si>
  <si>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</si>
  <si>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</si>
  <si>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</si>
  <si>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</si>
  <si>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</si>
  <si>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</si>
  <si>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</si>
  <si>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</si>
  <si>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</si>
  <si>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</si>
  <si>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</si>
  <si>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</si>
  <si>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</si>
  <si>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</si>
  <si>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</si>
  <si>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</si>
  <si>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</si>
  <si>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</si>
  <si>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</si>
  <si>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</si>
  <si>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</si>
  <si>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</si>
  <si>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</si>
  <si>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</si>
  <si>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</si>
  <si>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</si>
  <si>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</si>
  <si>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</si>
  <si>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</si>
  <si>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</si>
  <si>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</si>
  <si>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</si>
  <si>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</si>
  <si>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</si>
  <si>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</si>
  <si>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</si>
  <si>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</si>
  <si>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</si>
  <si>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</si>
  <si>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</si>
  <si>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</si>
  <si>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</si>
  <si>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</si>
  <si>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</si>
  <si>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工商银行</t>
    <phoneticPr fontId="20" type="noConversion"/>
  </si>
  <si>
    <t>1398.HK</t>
    <phoneticPr fontId="20" type="noConversion"/>
  </si>
  <si>
    <t>CNY</t>
  </si>
  <si>
    <t>C0014</t>
    <phoneticPr fontId="20" type="noConversion"/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</si>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</sst>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3" fontId="2" fillId="9" borderId="5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24" sqref="C2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2" t="s">
        <v>236</v>
      </c>
      <c r="D3" s="213"/>
      <c r="E3" s="90"/>
      <c r="F3" s="3" t="s">
        <v>1</v>
      </c>
      <c r="G3" s="142">
        <v>4.7800002098083496</v>
      </c>
      <c r="H3" s="144" t="s">
        <v>2</v>
      </c>
    </row>
    <row r="4" spans="1:10" ht="15.75" customHeight="1" x14ac:dyDescent="0.5">
      <c r="B4" s="35" t="s">
        <v>217</v>
      </c>
      <c r="C4" s="214" t="s">
        <v>235</v>
      </c>
      <c r="D4" s="215"/>
      <c r="E4" s="90"/>
      <c r="F4" s="3" t="s">
        <v>3</v>
      </c>
      <c r="G4" s="218">
        <v>356406257089</v>
      </c>
      <c r="H4" s="218"/>
      <c r="I4" s="39"/>
    </row>
    <row r="5" spans="1:10" ht="15.75" customHeight="1" x14ac:dyDescent="0.4">
      <c r="B5" s="3" t="s">
        <v>178</v>
      </c>
      <c r="C5" s="216">
        <v>45605</v>
      </c>
      <c r="D5" s="217"/>
      <c r="E5" s="34"/>
      <c r="F5" s="35" t="s">
        <v>102</v>
      </c>
      <c r="G5" s="210">
        <f>G3*G4/1000000</f>
        <v>1703621.9836624288</v>
      </c>
      <c r="H5" s="210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1" t="s">
        <v>237</v>
      </c>
      <c r="H6" s="211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238</v>
      </c>
      <c r="E7" s="90"/>
      <c r="F7" s="35" t="s">
        <v>6</v>
      </c>
      <c r="G7" s="143">
        <v>1.0842636823654175</v>
      </c>
      <c r="H7" s="74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1.2012210534502537E-2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0.15470436118294414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0.48610500800425166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3.0000000000000002E-2</v>
      </c>
      <c r="F23" s="150" t="s">
        <v>209</v>
      </c>
      <c r="G23" s="207">
        <f>G3/(Data!C36*Data!C4/Common_Shares*Exchange_Rate)</f>
        <v>0.40657895973803937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0.23359997615918934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0.29752465645987713</v>
      </c>
    </row>
    <row r="26" spans="1:8" ht="15.75" customHeight="1" x14ac:dyDescent="0.4">
      <c r="B26" s="148" t="s">
        <v>191</v>
      </c>
      <c r="C26" s="201">
        <f>Fin_Analysis!F83</f>
        <v>0.31717842027830168</v>
      </c>
      <c r="F26" s="151" t="s">
        <v>215</v>
      </c>
      <c r="G26" s="208">
        <f>Fin_Analysis!E87*Exchange_Rate/G3</f>
        <v>6.9501752655798305E-2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3.6641734442290139</v>
      </c>
      <c r="D29" s="139">
        <f>IF(Fin_Analysis!C106="Profit",Fin_Analysis!F98,IF(Fin_Analysis!C106="Dividend",Fin_Analysis!F101,Fin_Analysis!F104))</f>
        <v>6.1069557403816894</v>
      </c>
      <c r="E29" s="90"/>
      <c r="F29" s="141">
        <f>IF(Fin_Analysis!C106="Profit",Fin_Analysis!D98,IF(Fin_Analysis!C106="Dividend",Fin_Analysis!D101,Fin_Analysis!D104))</f>
        <v>4.8855645923053519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2" priority="4">
      <formula>LEN(TRIM(C11))=0</formula>
    </cfRule>
  </conditionalFormatting>
  <conditionalFormatting sqref="D12">
    <cfRule type="containsBlanks" dxfId="11" priority="2">
      <formula>LEN(TRIM(D12))=0</formula>
    </cfRule>
  </conditionalFormatting>
  <conditionalFormatting sqref="D17">
    <cfRule type="containsBlanks" dxfId="10" priority="1">
      <formula>LEN(TRIM(D17))=0</formula>
    </cfRule>
  </conditionalFormatting>
  <conditionalFormatting sqref="E28">
    <cfRule type="cellIs" dxfId="9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B58" sqref="B58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/>
      <c r="H3" s="88"/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CNY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209">
        <f>1405039+137891</f>
        <v>1542930</v>
      </c>
      <c r="D6" s="209">
        <v>1278674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0.20666409108185513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88">
        <v>18534</v>
      </c>
      <c r="D8" s="88">
        <v>16493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1524396</v>
      </c>
      <c r="D9" s="171">
        <f t="shared" si="2"/>
        <v>1262181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88">
        <v>238698</v>
      </c>
      <c r="D10" s="88">
        <v>239351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1285698</v>
      </c>
      <c r="D13" s="171">
        <f t="shared" ref="D13:M13" si="4">IF(D6="","",(D9-D10+D12))</f>
        <v>1022830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88">
        <v>750026</v>
      </c>
      <c r="D17" s="88">
        <v>586689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88">
        <v>1123</v>
      </c>
      <c r="D18" s="88">
        <v>978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534174.66666666663</v>
      </c>
      <c r="D19" s="80">
        <f>IF(D6="","",D9-D10-D17-MAX(D18/(1-Fin_Analysis!$F$84),0))</f>
        <v>434837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0.22844805448171759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534174.66666666663</v>
      </c>
      <c r="D21" s="80">
        <f>IF(D6="","",D13-D14-MAX(D15,0)-MAX(D16,0)-D17-MAX(D18/(1-Fin_Analysis!$F$84),0))</f>
        <v>434837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0.22844805448171759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0.25965597920838923</v>
      </c>
      <c r="D23" s="174">
        <f t="shared" si="7"/>
        <v>0.25505152212370003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400631</v>
      </c>
      <c r="D24" s="80">
        <f>IF(D6="","",D21*(1-Fin_Analysis!$F$84))</f>
        <v>326127.75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0.22844805448171768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47116536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46016636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0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0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43252035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0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42280604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42280604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3864501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629840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16682618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30433918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1.7551951959214277E-2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1.2012210534502537E-2</v>
      </c>
      <c r="D42" s="178">
        <f t="shared" si="22"/>
        <v>1.2898518308810534E-2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0.15470436118294414</v>
      </c>
      <c r="D43" s="174">
        <f t="shared" si="23"/>
        <v>0.18718688266125691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0.48610500800425166</v>
      </c>
      <c r="D46" s="174">
        <f t="shared" si="26"/>
        <v>0.45882609640924893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9.7044800044936142E-4</v>
      </c>
      <c r="D47" s="174">
        <f>IF(D6="","",MAX(D18,0)/(1-Fin_Analysis!$F$84)/D6)</f>
        <v>1.0198064557502538E-3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0.34620797227785227</v>
      </c>
      <c r="D48" s="174">
        <f t="shared" si="27"/>
        <v>0.34006869616493335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0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0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0.91797994232852775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1.2634035849314419E-2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1.4040838077932063</v>
      </c>
      <c r="D55" s="174">
        <f t="shared" si="32"/>
        <v>1.3492159130892725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1.0639184029144524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8" priority="1">
      <formula>LEN(TRIM(C6))=0</formula>
    </cfRule>
  </conditionalFormatting>
  <conditionalFormatting sqref="C25:M25">
    <cfRule type="containsBlanks" dxfId="7" priority="7">
      <formula>LEN(TRIM(C25))=0</formula>
    </cfRule>
  </conditionalFormatting>
  <conditionalFormatting sqref="C27:M40">
    <cfRule type="containsBlanks" dxfId="6" priority="8">
      <formula>LEN(TRIM(C27))=0</formula>
    </cfRule>
  </conditionalFormatting>
  <conditionalFormatting sqref="D24:M24">
    <cfRule type="containsBlanks" dxfId="5" priority="6">
      <formula>LEN(TRIM(D24))=0</formula>
    </cfRule>
  </conditionalFormatting>
  <conditionalFormatting sqref="F4">
    <cfRule type="containsBlanks" dxfId="4" priority="5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zoomScaleNormal="100" workbookViewId="0">
      <selection activeCell="C11" sqref="C1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3864501</v>
      </c>
      <c r="E3" s="70" t="str">
        <f>IF((C49-I49)=D3,"", "Error!")</f>
        <v/>
      </c>
      <c r="F3" s="90"/>
      <c r="G3" s="90"/>
      <c r="H3" s="47" t="s">
        <v>24</v>
      </c>
      <c r="I3" s="57">
        <v>3234661</v>
      </c>
      <c r="K3" s="24"/>
    </row>
    <row r="4" spans="1:11" ht="15" customHeight="1" x14ac:dyDescent="0.4">
      <c r="B4" s="3" t="s">
        <v>25</v>
      </c>
      <c r="C4" s="90"/>
      <c r="D4" s="66">
        <f>D3-I3</f>
        <v>629840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1.0639184029144524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-24838998.340832449</v>
      </c>
      <c r="E6" s="56">
        <f>1-D6/D3</f>
        <v>7.4274788234839244</v>
      </c>
      <c r="F6" s="90"/>
      <c r="G6" s="90"/>
      <c r="H6" s="1" t="s">
        <v>30</v>
      </c>
      <c r="I6" s="64">
        <f>(C24+C25)/I28</f>
        <v>1.0639184029144524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0</v>
      </c>
      <c r="E7" s="11" t="str">
        <f>Dashboard!H3</f>
        <v>HKD</v>
      </c>
      <c r="H7" s="1" t="s">
        <v>31</v>
      </c>
      <c r="I7" s="64">
        <f>C24/I28</f>
        <v>0.21634034098048796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3628128</v>
      </c>
      <c r="D11" s="61">
        <v>1</v>
      </c>
      <c r="E11" s="91">
        <f t="shared" ref="E11:E21" si="0">C11*D11</f>
        <v>3628128</v>
      </c>
      <c r="F11" s="117"/>
      <c r="G11" s="90"/>
      <c r="H11" s="3" t="s">
        <v>39</v>
      </c>
      <c r="I11" s="60">
        <f>218292+4113777+1647326+409956+34107316</f>
        <v>40496667</v>
      </c>
      <c r="J11" s="90"/>
      <c r="K11" s="24"/>
    </row>
    <row r="12" spans="1:11" ht="13.9" x14ac:dyDescent="0.4">
      <c r="B12" s="1" t="s">
        <v>148</v>
      </c>
      <c r="C12" s="60">
        <f>1261401+909808</f>
        <v>2171209</v>
      </c>
      <c r="D12" s="61">
        <v>0.95</v>
      </c>
      <c r="E12" s="91">
        <f t="shared" si="0"/>
        <v>2062648.5499999998</v>
      </c>
      <c r="F12" s="117"/>
      <c r="G12" s="90"/>
      <c r="H12" s="3" t="s">
        <v>40</v>
      </c>
      <c r="I12" s="60"/>
      <c r="J12" s="90"/>
      <c r="K12" s="24"/>
    </row>
    <row r="13" spans="1:11" ht="13.9" x14ac:dyDescent="0.4">
      <c r="B13" s="3" t="s">
        <v>121</v>
      </c>
      <c r="C13" s="60"/>
      <c r="D13" s="61">
        <v>0.8</v>
      </c>
      <c r="E13" s="91">
        <f t="shared" si="0"/>
        <v>0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>
        <f>916147+2641676</f>
        <v>3557823</v>
      </c>
      <c r="D14" s="61">
        <v>0.3</v>
      </c>
      <c r="E14" s="91">
        <f>C14*D14</f>
        <v>1067346.8999999999</v>
      </c>
      <c r="F14" s="117"/>
      <c r="G14" s="90"/>
      <c r="H14" s="89" t="s">
        <v>43</v>
      </c>
      <c r="I14" s="128">
        <f>71856+123343+1588738</f>
        <v>1783937</v>
      </c>
      <c r="J14" s="90"/>
      <c r="K14" s="27"/>
    </row>
    <row r="15" spans="1:11" ht="13.9" x14ac:dyDescent="0.4">
      <c r="B15" s="3" t="s">
        <v>44</v>
      </c>
      <c r="C15" s="60">
        <v>9431099</v>
      </c>
      <c r="D15" s="61">
        <v>0.05</v>
      </c>
      <c r="E15" s="91">
        <f>C15*D15</f>
        <v>471554.95</v>
      </c>
      <c r="F15" s="117"/>
      <c r="G15" s="90"/>
      <c r="H15" s="1" t="s">
        <v>54</v>
      </c>
      <c r="I15" s="87">
        <f>SUM(I11:I14)</f>
        <v>42280604</v>
      </c>
      <c r="J15" s="90"/>
    </row>
    <row r="16" spans="1:11" ht="13.9" x14ac:dyDescent="0.4">
      <c r="B16" s="1" t="s">
        <v>172</v>
      </c>
      <c r="C16" s="60">
        <f>27077967+150410</f>
        <v>27228377</v>
      </c>
      <c r="D16" s="61">
        <v>0.5</v>
      </c>
      <c r="E16" s="91">
        <f t="shared" si="0"/>
        <v>13614188.5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/>
      <c r="D17" s="61">
        <v>0.1</v>
      </c>
      <c r="E17" s="91">
        <f t="shared" si="0"/>
        <v>0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/>
      <c r="D18" s="61">
        <v>0.5</v>
      </c>
      <c r="E18" s="91">
        <f t="shared" si="0"/>
        <v>0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/>
      <c r="D21" s="61">
        <v>0.95</v>
      </c>
      <c r="E21" s="91">
        <f t="shared" si="0"/>
        <v>0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971431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9357160</v>
      </c>
      <c r="D24" s="63">
        <f>IF(E24=0,0,E24/C24)</f>
        <v>0.72224087757396471</v>
      </c>
      <c r="E24" s="91">
        <f>SUM(E11:E14)</f>
        <v>6758123.4499999993</v>
      </c>
      <c r="F24" s="119">
        <f>E24/$E$28</f>
        <v>0.32422599330645313</v>
      </c>
      <c r="G24" s="90"/>
    </row>
    <row r="25" spans="2:10" ht="15" customHeight="1" x14ac:dyDescent="0.4">
      <c r="B25" s="23" t="s">
        <v>55</v>
      </c>
      <c r="C25" s="62">
        <f>SUM(C15:C17)</f>
        <v>36659476</v>
      </c>
      <c r="D25" s="63">
        <f>IF(E25=0,0,E25/C25)</f>
        <v>0.38423199093189436</v>
      </c>
      <c r="E25" s="91">
        <f>SUM(E15:E17)</f>
        <v>14085743.449999999</v>
      </c>
      <c r="F25" s="119">
        <f t="shared" ref="F25:F27" si="2">E25/$E$28</f>
        <v>0.67577400669354692</v>
      </c>
      <c r="G25" s="90"/>
      <c r="H25" s="23" t="s">
        <v>56</v>
      </c>
      <c r="I25" s="64">
        <f>E28/I28</f>
        <v>0.48191644393148203</v>
      </c>
    </row>
    <row r="26" spans="2:10" ht="15" customHeight="1" x14ac:dyDescent="0.4">
      <c r="B26" s="23" t="s">
        <v>57</v>
      </c>
      <c r="C26" s="62">
        <f>C18+C19+C20</f>
        <v>0</v>
      </c>
      <c r="D26" s="63">
        <f t="shared" ref="D26:D27" si="3">IF(E26=0,0,E26/C26)</f>
        <v>0</v>
      </c>
      <c r="E26" s="91">
        <f>E18+E19+E20</f>
        <v>0</v>
      </c>
      <c r="F26" s="119">
        <f t="shared" si="2"/>
        <v>0</v>
      </c>
      <c r="G26" s="90"/>
      <c r="H26" s="23" t="s">
        <v>58</v>
      </c>
      <c r="I26" s="64">
        <f>E24/($I$28-I22)</f>
        <v>0.15983980384953816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80">
        <f>C21+C22</f>
        <v>0</v>
      </c>
      <c r="D27" s="63">
        <f t="shared" si="3"/>
        <v>0</v>
      </c>
      <c r="E27" s="91">
        <f>E21+E22</f>
        <v>0</v>
      </c>
      <c r="F27" s="119">
        <f t="shared" si="2"/>
        <v>0</v>
      </c>
      <c r="G27" s="90"/>
      <c r="H27" s="23" t="s">
        <v>60</v>
      </c>
      <c r="I27" s="64">
        <f>(E25+E24)/$I$28</f>
        <v>0.48191644393148203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46016636</v>
      </c>
      <c r="D28" s="58">
        <f t="shared" ref="D28" si="4">E28/C28</f>
        <v>0.45296372598814044</v>
      </c>
      <c r="E28" s="73">
        <f>SUM(E24:E27)</f>
        <v>20843866.899999999</v>
      </c>
      <c r="F28" s="117"/>
      <c r="G28" s="90"/>
      <c r="H28" s="81" t="s">
        <v>16</v>
      </c>
      <c r="I28" s="69">
        <v>43252035</v>
      </c>
      <c r="J28" s="32">
        <f>IF(J26="",1,0)+IF(J27="",1,0)+IF(J46="",1,0)+IF(J47="",1,0)</f>
        <v>0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/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/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0</v>
      </c>
      <c r="J34" s="90"/>
    </row>
    <row r="35" spans="2:10" ht="13.9" x14ac:dyDescent="0.4">
      <c r="B35" s="3" t="s">
        <v>70</v>
      </c>
      <c r="C35" s="60">
        <v>65568</v>
      </c>
      <c r="D35" s="61">
        <v>0.1</v>
      </c>
      <c r="E35" s="91">
        <f t="shared" si="5"/>
        <v>6556.8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/>
      <c r="D36" s="61">
        <v>0.2</v>
      </c>
      <c r="E36" s="91">
        <f t="shared" si="5"/>
        <v>0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297776</v>
      </c>
      <c r="D38" s="61">
        <v>0.1</v>
      </c>
      <c r="E38" s="91">
        <f>C38*D38</f>
        <v>29777.600000000002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/>
      <c r="D40" s="61">
        <v>0.05</v>
      </c>
      <c r="E40" s="91">
        <f t="shared" si="5"/>
        <v>0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97938</v>
      </c>
      <c r="D41" s="61">
        <v>0.95</v>
      </c>
      <c r="E41" s="91">
        <f t="shared" si="5"/>
        <v>93041.099999999991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638618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0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65568</v>
      </c>
      <c r="D45" s="63">
        <f>IF(E45=0,0,E45/C45)</f>
        <v>0.1</v>
      </c>
      <c r="E45" s="91">
        <f>SUM(E32:E35)</f>
        <v>6556.8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297776</v>
      </c>
      <c r="D46" s="63">
        <f t="shared" ref="D46:D47" si="6">IF(E46=0,0,E46/C46)</f>
        <v>0.1</v>
      </c>
      <c r="E46" s="91">
        <f>E36+E37+E38+E39</f>
        <v>29777.600000000002</v>
      </c>
      <c r="F46" s="90"/>
      <c r="G46" s="90"/>
      <c r="H46" s="23" t="s">
        <v>81</v>
      </c>
      <c r="I46" s="64">
        <f>(E44+E24)/E64</f>
        <v>0.15983980384953816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2">
        <f>C40+C41+C42</f>
        <v>736556</v>
      </c>
      <c r="D47" s="63">
        <f t="shared" si="6"/>
        <v>0.12631911219241984</v>
      </c>
      <c r="E47" s="91">
        <f>E40+E41+E42</f>
        <v>93041.099999999991</v>
      </c>
      <c r="F47" s="90"/>
      <c r="G47" s="90"/>
      <c r="H47" s="23" t="s">
        <v>83</v>
      </c>
      <c r="I47" s="64">
        <f>(E44+E45+E24+E25)/$I$49</f>
        <v>0.4820680391107609</v>
      </c>
      <c r="J47" s="8" t="str">
        <f>IF(OR(I47&lt;0.5,C49&lt;I49),"Liquidity Problem!","")</f>
        <v>Liquidity Problem!</v>
      </c>
    </row>
    <row r="48" spans="2:10" ht="15" customHeight="1" thickBot="1" x14ac:dyDescent="0.45">
      <c r="B48" s="83" t="s">
        <v>84</v>
      </c>
      <c r="C48" s="84">
        <f>SUM(C30:C42)</f>
        <v>1099900</v>
      </c>
      <c r="D48" s="85">
        <f>E48/C48</f>
        <v>0.1176247840712792</v>
      </c>
      <c r="E48" s="79">
        <f>SUM(E30:E42)</f>
        <v>129375.5</v>
      </c>
      <c r="F48" s="90"/>
      <c r="G48" s="90"/>
      <c r="H48" s="83" t="s">
        <v>85</v>
      </c>
      <c r="I48" s="86">
        <v>0</v>
      </c>
      <c r="J48" s="8"/>
    </row>
    <row r="49" spans="2:10" ht="15" customHeight="1" thickTop="1" x14ac:dyDescent="0.4">
      <c r="B49" s="3" t="s">
        <v>14</v>
      </c>
      <c r="C49" s="62">
        <f>C28+C48</f>
        <v>47116536</v>
      </c>
      <c r="D49" s="56">
        <f>E49/C49</f>
        <v>0.44513549128484314</v>
      </c>
      <c r="E49" s="91">
        <f>E28+E48</f>
        <v>20973242.399999999</v>
      </c>
      <c r="F49" s="90"/>
      <c r="G49" s="90"/>
      <c r="H49" s="3" t="s">
        <v>86</v>
      </c>
      <c r="I49" s="52">
        <f>I28+I48</f>
        <v>43252035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BV of the MI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629840</v>
      </c>
      <c r="D53" s="29">
        <f>IF(E53=0, 0,E53/C53)</f>
        <v>1</v>
      </c>
      <c r="E53" s="91">
        <f>MAX(C53,C53*Dashboard!G23)</f>
        <v>629840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9">
        <f>I15+I34</f>
        <v>42280604</v>
      </c>
      <c r="E56" s="220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8">
        <v>0</v>
      </c>
      <c r="E57" s="217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8">
        <v>0</v>
      </c>
      <c r="E58" s="217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13054490</v>
      </c>
      <c r="D61" s="56">
        <f t="shared" ref="D61:D70" si="7">IF(E61=0,0,E61/C61)</f>
        <v>0.11838521841910331</v>
      </c>
      <c r="E61" s="52">
        <f>E14+E15+(E19*G19)+(E20*G20)+E31+E32+(E35*G35)+(E36*G36)+(E37*G37)</f>
        <v>1545458.65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3628128</v>
      </c>
      <c r="D62" s="112">
        <f t="shared" si="7"/>
        <v>1</v>
      </c>
      <c r="E62" s="126">
        <f>E11+E30</f>
        <v>3628128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16682618</v>
      </c>
      <c r="D63" s="29">
        <f t="shared" si="7"/>
        <v>0.31011839089044657</v>
      </c>
      <c r="E63" s="62">
        <f>E61+E62</f>
        <v>5173586.6500000004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42280604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-25597986</v>
      </c>
      <c r="D65" s="29">
        <f t="shared" si="7"/>
        <v>1.449606908527882</v>
      </c>
      <c r="E65" s="62">
        <f>E63-E64</f>
        <v>-37107017.350000001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30433918</v>
      </c>
      <c r="D68" s="29">
        <f t="shared" si="7"/>
        <v>0.51914629427601133</v>
      </c>
      <c r="E68" s="71">
        <f>E49-E63</f>
        <v>15799655.749999998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971431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29462487</v>
      </c>
      <c r="D70" s="29">
        <f t="shared" si="7"/>
        <v>0.5032916857969254</v>
      </c>
      <c r="E70" s="71">
        <f>E68-E69</f>
        <v>14828224.749999998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4">
        <f>Data!C5</f>
        <v>45291</v>
      </c>
      <c r="D72" s="224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1000000CNY)</v>
      </c>
      <c r="C73" s="223" t="s">
        <v>103</v>
      </c>
      <c r="D73" s="223"/>
      <c r="E73" s="225" t="s">
        <v>104</v>
      </c>
      <c r="F73" s="223"/>
    </row>
    <row r="74" spans="1:9" ht="15" customHeight="1" x14ac:dyDescent="0.4">
      <c r="B74" s="3" t="s">
        <v>136</v>
      </c>
      <c r="C74" s="80">
        <f>Data!C6</f>
        <v>1542930</v>
      </c>
      <c r="D74" s="181"/>
      <c r="E74" s="182">
        <f>C74</f>
        <v>1542930</v>
      </c>
      <c r="F74" s="181"/>
    </row>
    <row r="75" spans="1:9" ht="15" customHeight="1" x14ac:dyDescent="0.4">
      <c r="B75" s="109" t="s">
        <v>109</v>
      </c>
      <c r="C75" s="80">
        <f>Data!C8</f>
        <v>18534</v>
      </c>
      <c r="D75" s="183">
        <f>C75/$C$74</f>
        <v>1.2012210534502537E-2</v>
      </c>
      <c r="E75" s="182">
        <f>D75*E74</f>
        <v>18534</v>
      </c>
      <c r="F75" s="184">
        <f>E75/$E$74</f>
        <v>1.2012210534502537E-2</v>
      </c>
    </row>
    <row r="76" spans="1:9" ht="15" customHeight="1" x14ac:dyDescent="0.4">
      <c r="B76" s="35" t="s">
        <v>96</v>
      </c>
      <c r="C76" s="185">
        <f>C74-C75</f>
        <v>1524396</v>
      </c>
      <c r="D76" s="186"/>
      <c r="E76" s="187">
        <f>E74-E75</f>
        <v>1524396</v>
      </c>
      <c r="F76" s="186"/>
    </row>
    <row r="77" spans="1:9" ht="15" customHeight="1" x14ac:dyDescent="0.4">
      <c r="B77" s="109" t="s">
        <v>133</v>
      </c>
      <c r="C77" s="80">
        <f>Data!C10-Data!C12</f>
        <v>238698</v>
      </c>
      <c r="D77" s="183">
        <f>C77/$C$74</f>
        <v>0.15470436118294414</v>
      </c>
      <c r="E77" s="182">
        <f>D77*E74</f>
        <v>238698</v>
      </c>
      <c r="F77" s="184">
        <f>E77/$E$74</f>
        <v>0.15470436118294414</v>
      </c>
    </row>
    <row r="78" spans="1:9" ht="15" customHeight="1" x14ac:dyDescent="0.4">
      <c r="B78" s="35" t="s">
        <v>97</v>
      </c>
      <c r="C78" s="185">
        <f>C76-C77</f>
        <v>1285698</v>
      </c>
      <c r="D78" s="186"/>
      <c r="E78" s="187">
        <f>E76-E77</f>
        <v>1285698</v>
      </c>
      <c r="F78" s="186"/>
    </row>
    <row r="79" spans="1:9" ht="15" customHeight="1" x14ac:dyDescent="0.4">
      <c r="B79" s="109" t="s">
        <v>129</v>
      </c>
      <c r="C79" s="80">
        <f>Data!C17</f>
        <v>750026</v>
      </c>
      <c r="D79" s="183">
        <f>C79/$C$74</f>
        <v>0.48610500800425166</v>
      </c>
      <c r="E79" s="182">
        <f>C79</f>
        <v>750026</v>
      </c>
      <c r="F79" s="184">
        <f>E79/$E$74</f>
        <v>0.48610500800425166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46287.9</v>
      </c>
      <c r="F80" s="184">
        <f t="shared" ref="F80:F83" si="8">E80/$E$74</f>
        <v>3.0000000000000002E-2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1123</v>
      </c>
      <c r="D82" s="183">
        <f>C82/$C$74</f>
        <v>7.2783600033702114E-4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534549</v>
      </c>
      <c r="D83" s="189">
        <f>C83/$C$74</f>
        <v>0.34645058427796466</v>
      </c>
      <c r="E83" s="190">
        <f>E78-E79-E80-E81-E82</f>
        <v>489384.1</v>
      </c>
      <c r="F83" s="191">
        <f t="shared" si="8"/>
        <v>0.31717842027830168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4">
      <c r="B85" s="89" t="s">
        <v>179</v>
      </c>
      <c r="C85" s="185">
        <f>C83*(1-F84)</f>
        <v>400911.75</v>
      </c>
      <c r="D85" s="191">
        <f>C85/$C$74</f>
        <v>0.25983793820847351</v>
      </c>
      <c r="E85" s="196">
        <f>E83*(1-F84)</f>
        <v>367038.07499999995</v>
      </c>
      <c r="F85" s="191">
        <f>E85/$E$74</f>
        <v>0.23788381520872623</v>
      </c>
    </row>
    <row r="86" spans="1:8" ht="15" customHeight="1" x14ac:dyDescent="0.4">
      <c r="B86" s="90" t="s">
        <v>174</v>
      </c>
      <c r="C86" s="197">
        <f>C85*Data!C4/Common_Shares</f>
        <v>1.1248729280863503</v>
      </c>
      <c r="D86" s="181"/>
      <c r="E86" s="198">
        <f>E85*Data!C4/Common_Shares</f>
        <v>1.0298306152025412</v>
      </c>
      <c r="F86" s="181"/>
    </row>
    <row r="87" spans="1:8" ht="15" customHeight="1" x14ac:dyDescent="0.4">
      <c r="B87" s="89" t="s">
        <v>175</v>
      </c>
      <c r="C87" s="199">
        <f>0.3064+0.1434</f>
        <v>0.44979999999999998</v>
      </c>
      <c r="D87" s="191">
        <f>C87/C86</f>
        <v>0.39986738836821867</v>
      </c>
      <c r="E87" s="200">
        <f>0.3064</f>
        <v>0.30640000000000001</v>
      </c>
      <c r="F87" s="191">
        <f>E87/E86</f>
        <v>0.29752465645987713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1" t="s">
        <v>170</v>
      </c>
      <c r="E90" s="221"/>
      <c r="G90" s="90"/>
      <c r="H90" s="24"/>
    </row>
    <row r="91" spans="1:8" ht="15" customHeight="1" x14ac:dyDescent="0.4">
      <c r="B91" s="1" t="s">
        <v>192</v>
      </c>
      <c r="C91" s="61" t="s">
        <v>239</v>
      </c>
      <c r="D91" s="222" t="s">
        <v>219</v>
      </c>
      <c r="E91" s="222"/>
      <c r="F91" s="29">
        <f>E86*Exchange_Rate/Dashboard!G3</f>
        <v>0.23359997615918934</v>
      </c>
      <c r="H91" s="161"/>
    </row>
    <row r="92" spans="1:8" ht="15" customHeight="1" x14ac:dyDescent="0.4">
      <c r="B92" s="1" t="str">
        <f>IF(C91="CN",Dashboard!B17,Dashboard!B12)</f>
        <v>Required Return (CN)</v>
      </c>
      <c r="C92" s="146">
        <f>IF(C91="CN",Dashboard!C17,IF(C91="US",Dashboard!C12,IF(C91="HK",Dashboard!D12,Dashboard!D17)))</f>
        <v>8.8000000000000009E-2</v>
      </c>
      <c r="D92" s="160">
        <v>5</v>
      </c>
      <c r="E92" s="90" t="s">
        <v>220</v>
      </c>
      <c r="F92" s="159">
        <f>FV(F91,D92,0,-(E86/C92))</f>
        <v>33.431424951818485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8474042.5884925276</v>
      </c>
      <c r="D95" s="132">
        <f>PV(C92,D92,0,-F92)*Exchange_Rate</f>
        <v>23.776357513208396</v>
      </c>
      <c r="E95" s="132">
        <f>PV(15%,D92,0,-F92)*Exchange_Rate</f>
        <v>18.021900908628059</v>
      </c>
      <c r="H95" s="24"/>
    </row>
    <row r="96" spans="1:8" ht="15" customHeight="1" x14ac:dyDescent="0.4">
      <c r="B96" s="28" t="s">
        <v>157</v>
      </c>
      <c r="C96" s="95">
        <f>E53*Exchange_Rate</f>
        <v>682912.63770103455</v>
      </c>
      <c r="D96" s="132">
        <f>C96*Data!$C$4/Common_Shares</f>
        <v>1.9161073188748787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-40233791.273508437</v>
      </c>
      <c r="D97" s="162">
        <f>C97*Data!$C$4/Common_Shares</f>
        <v>-112.88744367768339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-32442661.322716944</v>
      </c>
      <c r="D98" s="114">
        <f>MAX(C98*Data!$C$4/Common_Shares,0)</f>
        <v>0</v>
      </c>
      <c r="E98" s="114">
        <f>E95*Exchange_Rate-D96+D97</f>
        <v>-95.263058354144547</v>
      </c>
      <c r="F98" s="114">
        <f>D98*1.25</f>
        <v>0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1741245.7901100966</v>
      </c>
      <c r="D101" s="132">
        <f>E87/(C92-D100)*Exchange_Rate</f>
        <v>4.8855645923053519</v>
      </c>
      <c r="E101" s="114">
        <f>D101*(1-25%)</f>
        <v>3.6641734442290139</v>
      </c>
      <c r="F101" s="114">
        <f>D101*1.25</f>
        <v>6.1069557403816894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870622.89505504828</v>
      </c>
      <c r="D104" s="132">
        <f>(D98+D101)/2</f>
        <v>2.4427822961526759</v>
      </c>
      <c r="E104" s="114">
        <f>D104*(1-25%)</f>
        <v>1.832086722114507</v>
      </c>
      <c r="F104" s="114">
        <f>D104*1.25</f>
        <v>3.0534778701908447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