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A5C2F32-434E-4B27-8FB5-87E8C73966E5}" xr6:coauthVersionLast="47" xr6:coauthVersionMax="47" xr10:uidLastSave="{00000000-0000-0000-0000-000000000000}"/>
  <bookViews>
    <workbookView xWindow="1103" yWindow="1103" windowWidth="12690" windowHeight="7642" firstSheet="1" activeTab="1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10" i="2" l="1"/>
  <c r="D8" i="2"/>
  <c r="C10" i="2"/>
  <c r="C8" i="2"/>
  <c r="C7" i="2"/>
  <c r="E87" i="3" l="1"/>
  <c r="C92" i="3"/>
  <c r="D101" i="3" l="1"/>
  <c r="B92" i="3"/>
  <c r="G26" i="1" l="1"/>
  <c r="D45" i="2"/>
  <c r="C82" i="3"/>
  <c r="E42" i="2"/>
  <c r="C94" i="3"/>
  <c r="C100" i="3" s="1"/>
  <c r="C103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E80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3" i="3" l="1"/>
  <c r="D85" i="3"/>
  <c r="C86" i="3"/>
  <c r="D87" i="3" s="1"/>
  <c r="C25" i="1"/>
  <c r="C46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21" i="2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D95" i="3" l="1"/>
  <c r="C95" i="3" s="1"/>
  <c r="G24" i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53" i="3" s="1"/>
  <c r="C34" i="2"/>
  <c r="G23" i="1" s="1"/>
  <c r="J47" i="3"/>
  <c r="J28" i="3" s="1"/>
  <c r="C25" i="2" l="1"/>
  <c r="C51" i="2" s="1"/>
  <c r="E53" i="3"/>
  <c r="C35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<sst xmlns="http://schemas.openxmlformats.org/spreadsheetml/2006/main" count="253" uniqueCount="232">
  <si>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</si>
  <si>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</si>
  <si>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</si>
  <si>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</si>
  <si>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</si>
  <si>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</si>
  <si>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</si>
  <si>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</si>
  <si>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</si>
  <si>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</si>
  <si>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</si>
  <si>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</si>
  <si>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</si>
  <si>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</si>
  <si>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</si>
  <si>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</si>
  <si>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</si>
  <si>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</si>
  <si>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</si>
  <si>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</si>
  <si>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</si>
  <si>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</si>
  <si>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</si>
  <si>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</si>
  <si>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</si>
  <si>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</si>
  <si>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</si>
  <si>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</si>
  <si>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</si>
  <si>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</si>
  <si>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</si>
  <si>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</si>
  <si>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</si>
  <si>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</si>
  <si>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</si>
  <si>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</si>
  <si>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</si>
  <si>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</si>
  <si>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</si>
  <si>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</si>
  <si>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</si>
  <si>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</si>
  <si>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</si>
  <si>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</si>
  <si>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</si>
  <si>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</si>
  <si>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</si>
  <si>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</si>
  <si>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</si>
  <si>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</si>
  <si>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</si>
  <si>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</si>
  <si>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</si>
  <si>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</si>
  <si>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</si>
  <si>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</si>
  <si>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</si>
  <si>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</si>
  <si>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</si>
  <si>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</si>
  <si>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</si>
  <si>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</si>
  <si>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</si>
  <si>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</si>
  <si>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</si>
  <si>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</si>
  <si>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</si>
  <si>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</si>
  <si>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</si>
  <si>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</si>
  <si>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</si>
  <si>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</si>
  <si>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</si>
  <si>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</si>
  <si>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</si>
  <si>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</si>
  <si>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</si>
  <si>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</si>
  <si>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</si>
  <si>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</si>
  <si>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</si>
  <si>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</si>
  <si>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</si>
  <si>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</si>
  <si>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</si>
  <si>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</si>
  <si>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</si>
  <si>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</si>
  <si>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</si>
  <si>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</si>
  <si>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</si>
  <si>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</si>
  <si>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</si>
  <si>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</si>
  <si>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</si>
  <si>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</si>
  <si>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</si>
  <si>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</si>
  <si>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</si>
  <si>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</si>
  <si>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</si>
  <si>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</si>
  <si>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</si>
  <si>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</si>
  <si>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</si>
  <si>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</si>
  <si>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</si>
  <si>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</si>
  <si>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</si>
  <si>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</si>
  <si>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</si>
  <si>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</si>
  <si>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</si>
  <si>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</si>
  <si>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</si>
  <si>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</si>
  <si>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</si>
  <si>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</si>
  <si>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</si>
  <si>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</si>
  <si>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</si>
  <si>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</si>
  <si>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</si>
  <si>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</si>
  <si>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</si>
  <si>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</si>
  <si>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</si>
  <si>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</si>
  <si>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</si>
  <si>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</si>
  <si>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</si>
  <si>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</si>
  <si>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</si>
  <si>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</si>
  <si>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</si>
  <si>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</si>
  <si>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</si>
  <si>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</si>
  <si>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</si>
  <si>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</si>
  <si>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</si>
  <si>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</si>
  <si>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</si>
  <si>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</si>
  <si>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</si>
  <si>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</si>
  <si>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</si>
  <si>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</si>
  <si>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</si>
  <si>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</si>
  <si>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</si>
  <si>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</si>
  <si>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</si>
  <si>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</si>
  <si>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</si>
  <si>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</si>
  <si>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</si>
  <si>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</si>
  <si>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</si>
  <si>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</si>
  <si>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</si>
  <si>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</si>
  <si>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</si>
  <si>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</si>
  <si>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</si>
  <si>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</si>
  <si>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</si>
  <si>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</si>
  <si>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</si>
  <si>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</si>
  <si>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</si>
  <si>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</si>
  <si>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</si>
  <si>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</si>
  <si>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</si>
  <si>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</si>
  <si>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</si>
  <si>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</si>
  <si>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</si>
  <si>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</si>
  <si>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</si>
  <si>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</si>
  <si>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</si>
  <si>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</si>
  <si>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</si>
  <si>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</si>
  <si>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</si>
  <si>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</si>
  <si>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</si>
  <si>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</si>
  <si>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</si>
  <si>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</si>
  <si>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</si>
  <si>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</si>
  <si>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</si>
  <si>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</si>
  <si>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</si>
  <si>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</si>
  <si>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</si>
  <si>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</si>
  <si>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</si>
  <si>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</si>
  <si>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</si>
  <si>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</si>
  <si>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</si>
  <si>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</si>
  <si>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</si>
  <si>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</si>
  <si>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</si>
  <si>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</si>
  <si>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Profit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</si>
  <si>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</si>
  <si>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</si>
  <si>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</si>
  <si>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</si>
  <si>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</si>
  <si>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</si>
  <si>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</si>
  <si>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</si>
  <si>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</si>
  <si>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</si>
  <si>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</si>
  <si>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Gordon Growth Model with 2% growth rate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</si>
  <si>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</si>
  <si>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</si>
  <si>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</si>
  <si>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</si>
  <si>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CN</t>
  </si>
  <si>
    <t>CNY</t>
  </si>
  <si>
    <t>1405.HK</t>
  </si>
  <si>
    <t>達勢股份</t>
  </si>
  <si>
    <t>C0002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</si>
</sst>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5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6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0" fontId="26" fillId="0" borderId="3" xfId="2" applyFont="1" applyBorder="1"/>
    <xf numFmtId="0" fontId="4" fillId="0" borderId="0" xfId="0" quotePrefix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12" sqref="C12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1405.HK : 達勢股份</v>
      </c>
      <c r="D2" s="94"/>
      <c r="E2" s="7"/>
      <c r="F2" s="7"/>
      <c r="G2" s="93"/>
      <c r="H2" s="93"/>
    </row>
    <row r="3" spans="1:10" ht="15.75" customHeight="1" x14ac:dyDescent="0.4">
      <c r="B3" s="3" t="s">
        <v>217</v>
      </c>
      <c r="C3" s="201" t="s">
        <v>229</v>
      </c>
      <c r="D3" s="202"/>
      <c r="E3" s="94"/>
      <c r="F3" s="3" t="s">
        <v>1</v>
      </c>
      <c r="G3" s="169">
        <v>72.5</v>
      </c>
      <c r="H3" s="171" t="s">
        <v>2</v>
      </c>
    </row>
    <row r="4" spans="1:10" ht="15.75" customHeight="1" x14ac:dyDescent="0.5">
      <c r="B4" s="35" t="s">
        <v>218</v>
      </c>
      <c r="C4" s="203" t="s">
        <v>230</v>
      </c>
      <c r="D4" s="204"/>
      <c r="E4" s="94"/>
      <c r="F4" s="3" t="s">
        <v>3</v>
      </c>
      <c r="G4" s="207">
        <v>130481963</v>
      </c>
      <c r="H4" s="207"/>
      <c r="I4" s="39"/>
    </row>
    <row r="5" spans="1:10" ht="15.75" customHeight="1" x14ac:dyDescent="0.4">
      <c r="B5" s="3" t="s">
        <v>178</v>
      </c>
      <c r="C5" s="205">
        <v>45603</v>
      </c>
      <c r="D5" s="206"/>
      <c r="E5" s="34"/>
      <c r="F5" s="35" t="s">
        <v>102</v>
      </c>
      <c r="G5" s="199">
        <f>G3*G4/1000000</f>
        <v>9459.9423174999993</v>
      </c>
      <c r="H5" s="199"/>
      <c r="I5" s="38"/>
      <c r="J5" s="28"/>
    </row>
    <row r="6" spans="1:10" ht="15.75" customHeight="1" x14ac:dyDescent="0.4">
      <c r="B6" s="94" t="s">
        <v>4</v>
      </c>
      <c r="C6" s="187">
        <v>8</v>
      </c>
      <c r="D6" s="188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00" t="s">
        <v>228</v>
      </c>
      <c r="H6" s="200"/>
      <c r="I6" s="38"/>
    </row>
    <row r="7" spans="1:10" ht="15.75" customHeight="1" x14ac:dyDescent="0.4">
      <c r="B7" s="93" t="s">
        <v>215</v>
      </c>
      <c r="C7" s="186" t="s">
        <v>71</v>
      </c>
      <c r="D7" s="192" t="s">
        <v>231</v>
      </c>
      <c r="E7" s="94"/>
      <c r="F7" s="35" t="s">
        <v>6</v>
      </c>
      <c r="G7" s="170">
        <v>1.0842636823654175</v>
      </c>
      <c r="H7" s="77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77" t="s">
        <v>213</v>
      </c>
      <c r="F9" s="183" t="s">
        <v>206</v>
      </c>
    </row>
    <row r="10" spans="1:10" ht="15.75" customHeight="1" x14ac:dyDescent="0.4">
      <c r="B10" s="1" t="s">
        <v>195</v>
      </c>
      <c r="C10" s="168">
        <v>4.2099999999999999E-2</v>
      </c>
      <c r="F10" s="125" t="s">
        <v>203</v>
      </c>
    </row>
    <row r="11" spans="1:10" ht="15.75" customHeight="1" thickBot="1" x14ac:dyDescent="0.45">
      <c r="B11" s="146" t="s">
        <v>199</v>
      </c>
      <c r="C11" s="181">
        <v>5.3099999999999994E-2</v>
      </c>
      <c r="D11" s="174" t="s">
        <v>211</v>
      </c>
      <c r="F11" s="125" t="s">
        <v>197</v>
      </c>
    </row>
    <row r="12" spans="1:10" ht="15.75" customHeight="1" thickTop="1" x14ac:dyDescent="0.4">
      <c r="B12" s="94" t="s">
        <v>142</v>
      </c>
      <c r="C12" s="189">
        <v>0.08</v>
      </c>
      <c r="D12" s="168">
        <v>8.4000000000000005E-2</v>
      </c>
      <c r="F12" s="125"/>
    </row>
    <row r="13" spans="1:10" ht="15.75" customHeight="1" x14ac:dyDescent="0.4"/>
    <row r="14" spans="1:10" ht="15.75" customHeight="1" x14ac:dyDescent="0.4">
      <c r="B14" s="1" t="s">
        <v>196</v>
      </c>
      <c r="C14" s="168">
        <v>2.1309999999999999E-2</v>
      </c>
      <c r="F14" s="125" t="s">
        <v>202</v>
      </c>
    </row>
    <row r="15" spans="1:10" ht="15.75" customHeight="1" x14ac:dyDescent="0.4">
      <c r="B15" s="1" t="s">
        <v>207</v>
      </c>
      <c r="C15" s="168">
        <v>6.5000000000000002E-2</v>
      </c>
      <c r="F15" s="125" t="s">
        <v>200</v>
      </c>
    </row>
    <row r="16" spans="1:10" ht="15.75" customHeight="1" thickBot="1" x14ac:dyDescent="0.45">
      <c r="B16" s="146" t="s">
        <v>208</v>
      </c>
      <c r="C16" s="181">
        <v>0.16</v>
      </c>
      <c r="D16" s="191" t="s">
        <v>212</v>
      </c>
      <c r="F16" s="125" t="s">
        <v>198</v>
      </c>
    </row>
    <row r="17" spans="1:8" ht="15.75" customHeight="1" thickTop="1" x14ac:dyDescent="0.4">
      <c r="B17" s="94" t="s">
        <v>201</v>
      </c>
      <c r="C17" s="190">
        <v>8.8000000000000009E-2</v>
      </c>
      <c r="D17" s="185"/>
    </row>
    <row r="18" spans="1:8" ht="15.75" customHeight="1" x14ac:dyDescent="0.4"/>
    <row r="19" spans="1:8" ht="15.75" customHeight="1" x14ac:dyDescent="0.4">
      <c r="B19" s="182" t="s">
        <v>204</v>
      </c>
      <c r="C19" s="172" t="s">
        <v>52</v>
      </c>
      <c r="D19" s="94"/>
      <c r="E19" s="94"/>
      <c r="F19" s="44"/>
      <c r="G19" s="94"/>
      <c r="H19" s="94"/>
    </row>
    <row r="20" spans="1:8" ht="15.75" customHeight="1" x14ac:dyDescent="0.4">
      <c r="B20" s="174" t="s">
        <v>185</v>
      </c>
      <c r="C20" s="175">
        <f>Fin_Analysis!F75</f>
        <v>0.8448760372568398</v>
      </c>
      <c r="F20" s="94"/>
      <c r="G20" s="29"/>
    </row>
    <row r="21" spans="1:8" ht="15.75" customHeight="1" x14ac:dyDescent="0.4">
      <c r="B21" s="174" t="s">
        <v>186</v>
      </c>
      <c r="C21" s="175">
        <f>Fin_Analysis!F77</f>
        <v>0.18023840312844694</v>
      </c>
      <c r="F21" s="94"/>
      <c r="G21" s="29"/>
    </row>
    <row r="22" spans="1:8" ht="15.75" customHeight="1" x14ac:dyDescent="0.4">
      <c r="B22" s="174" t="s">
        <v>187</v>
      </c>
      <c r="C22" s="175">
        <f>Fin_Analysis!F79</f>
        <v>1.7912194354438221E-2</v>
      </c>
      <c r="F22" s="182" t="s">
        <v>205</v>
      </c>
    </row>
    <row r="23" spans="1:8" ht="15.75" customHeight="1" x14ac:dyDescent="0.4">
      <c r="B23" s="174" t="s">
        <v>188</v>
      </c>
      <c r="C23" s="175">
        <f>Fin_Analysis!F80</f>
        <v>0.03</v>
      </c>
      <c r="F23" s="178" t="s">
        <v>209</v>
      </c>
      <c r="G23" s="184">
        <f>G3/(Data!C34*Data!E3/Common_Shares*Exchange_Rate)</f>
        <v>0.67823623629034402</v>
      </c>
    </row>
    <row r="24" spans="1:8" ht="15.75" customHeight="1" x14ac:dyDescent="0.4">
      <c r="B24" s="174" t="s">
        <v>189</v>
      </c>
      <c r="C24" s="175">
        <f>Fin_Analysis!F81</f>
        <v>0</v>
      </c>
      <c r="F24" s="178" t="s">
        <v>194</v>
      </c>
      <c r="G24" s="179">
        <f>(Fin_Analysis!E86*G7)/G3</f>
        <v>-1.9150962745846989E-2</v>
      </c>
    </row>
    <row r="25" spans="1:8" ht="15.75" customHeight="1" x14ac:dyDescent="0.4">
      <c r="B25" s="174" t="s">
        <v>214</v>
      </c>
      <c r="C25" s="175">
        <f>Fin_Analysis!F82</f>
        <v>0</v>
      </c>
      <c r="F25" s="178" t="s">
        <v>193</v>
      </c>
      <c r="G25" s="175">
        <f>Fin_Analysis!F87</f>
        <v>0</v>
      </c>
    </row>
    <row r="26" spans="1:8" ht="15.75" customHeight="1" x14ac:dyDescent="0.4">
      <c r="B26" s="176" t="s">
        <v>191</v>
      </c>
      <c r="C26" s="175">
        <f>Fin_Analysis!F83</f>
        <v>-7.3026634739724955E-2</v>
      </c>
      <c r="F26" s="180" t="s">
        <v>216</v>
      </c>
      <c r="G26" s="179">
        <f>Fin_Analysis!E87*Exchange_Rate/G3</f>
        <v>0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4">
      <c r="B29" s="94" t="s">
        <v>184</v>
      </c>
      <c r="C29" s="166">
        <f>IF(Fin_Analysis!C106="Profit",Fin_Analysis!E98,IF(Fin_Analysis!C106="Dividend",Fin_Analysis!E101,Fin_Analysis!E104))</f>
        <v>2.3684939271736534</v>
      </c>
      <c r="D29" s="165">
        <f>IF(Fin_Analysis!C106="Profit",Fin_Analysis!F98,IF(Fin_Analysis!C106="Dividend",Fin_Analysis!F101,Fin_Analysis!F104))</f>
        <v>0.86834076286803785</v>
      </c>
      <c r="E29" s="94"/>
      <c r="F29" s="167">
        <f>IF(Fin_Analysis!C106="Profit",Fin_Analysis!D98,IF(Fin_Analysis!C106="Dividend",Fin_Analysis!D101,Fin_Analysis!D104))</f>
        <v>0.69467261029443028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0" priority="4">
      <formula>LEN(TRIM(C11))=0</formula>
    </cfRule>
  </conditionalFormatting>
  <conditionalFormatting sqref="D12">
    <cfRule type="containsBlanks" dxfId="9" priority="2">
      <formula>LEN(TRIM(D12))=0</formula>
    </cfRule>
  </conditionalFormatting>
  <conditionalFormatting sqref="D17">
    <cfRule type="containsBlanks" dxfId="8" priority="1">
      <formula>LEN(TRIM(D17))=0</formula>
    </cfRule>
  </conditionalFormatting>
  <conditionalFormatting sqref="E28">
    <cfRule type="cellIs" dxfId="7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tabSelected="1" topLeftCell="A3" zoomScaleNormal="100" workbookViewId="0">
      <pane xSplit="2" topLeftCell="C1" activePane="topRight" state="frozen"/>
      <selection activeCell="A4" sqref="A4"/>
      <selection pane="topRight" activeCell="C12" sqref="C1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39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>
        <v>3050715</v>
      </c>
      <c r="D6" s="58">
        <v>2020789</v>
      </c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0.50966528420334822</v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f>836796+1178681+236855+159196+51125+114823</f>
        <v>2577476</v>
      </c>
      <c r="D8" s="92">
        <f>549721+785040+190633+120692+47476+82984</f>
        <v>1776546</v>
      </c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473239</v>
      </c>
      <c r="D9" s="101">
        <f t="shared" si="2"/>
        <v>244243</v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f>159214+188892+70843+130907</f>
        <v>549856</v>
      </c>
      <c r="D10" s="92">
        <f>116809+129750+25847+122760</f>
        <v>395166</v>
      </c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0</v>
      </c>
      <c r="D11" s="97">
        <f t="shared" si="3"/>
        <v>0</v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-76617</v>
      </c>
      <c r="D13" s="101">
        <f t="shared" ref="D13:M13" si="4">IF(D6="","",(D9-D10+D12))</f>
        <v>-150923</v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>
        <v>54645</v>
      </c>
      <c r="D17" s="92">
        <v>78321</v>
      </c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-131262</v>
      </c>
      <c r="D19" s="95">
        <f>IF(D6="","",D13-D14-MAX(D15,0)-MAX(D16,0)-D17-MAX(D18/(1-Fin_Analysis!$F$84),0))</f>
        <v>-229244</v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>
        <f>IF(D19="","",IF(ABS(C19+D19)=ABS(C19)+ABS(D19),IF(C19&lt;0,-1,1)*(C19-D19)/D19,"Turn"))</f>
        <v>0.42741358552459391</v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-3.226997605479371E-2</v>
      </c>
      <c r="D21" s="56">
        <f t="shared" si="6"/>
        <v>-8.5082113966376494E-2</v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-98446.5</v>
      </c>
      <c r="D22" s="95">
        <f>IF(D6="","",D19*(1-Fin_Analysis!$F$84))</f>
        <v>-171933</v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>
        <f>IF(D22="","",IF(ABS(C22+D22)=ABS(C22)+ABS(D22),IF(C22&lt;0,-1,1)*(C22-D22)/D22,"Turn"))</f>
        <v>0.42741358552459391</v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8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16854064</v>
      </c>
      <c r="D25" s="41">
        <f t="shared" si="17"/>
        <v>0</v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12332308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265773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9672256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3516809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473357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649697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319420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969117</v>
      </c>
      <c r="D33" s="95">
        <f t="shared" si="18"/>
        <v>0</v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12863898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-26962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2923945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13930119</v>
      </c>
      <c r="D37" s="41">
        <f t="shared" ref="D37:M37" si="19">IF(D6="","",D25-D36)</f>
        <v>0</v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171</v>
      </c>
      <c r="C38" s="104">
        <f>IF(C6="","",C19/C37)</f>
        <v>-9.4228915058083857E-3</v>
      </c>
      <c r="D38" s="104" t="e">
        <f t="shared" ref="D38:M38" si="20">IF(D6="","",D19/D37)</f>
        <v>#DIV/0!</v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0.8448760372568398</v>
      </c>
      <c r="D40" s="61">
        <f t="shared" si="21"/>
        <v>0.87913483297860395</v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>
        <f t="shared" ref="C41:M41" si="22">IF(C6="","",(C10-C12)/C6)</f>
        <v>0.18023840312844694</v>
      </c>
      <c r="D41" s="56">
        <f t="shared" si="22"/>
        <v>0.19555035186751313</v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0</v>
      </c>
      <c r="D42" s="56">
        <f t="shared" si="23"/>
        <v>0</v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>
        <f t="shared" ref="C44:M44" si="25">IF(C6="","",C17/C6)</f>
        <v>1.7912194354438221E-2</v>
      </c>
      <c r="D44" s="56">
        <f t="shared" si="25"/>
        <v>3.8757633775718295E-2</v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>
        <f>IF(C6="","",MAX(C18,0)/(1-Fin_Analysis!$F$84)/C6)</f>
        <v>0</v>
      </c>
      <c r="D45" s="56">
        <f>IF(D6="","",MAX(D18,0)/(1-Fin_Analysis!$F$84)/D6)</f>
        <v>0</v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>
        <f t="shared" ref="C46:M46" si="26">IF(C6="","",C19/C6)</f>
        <v>-4.3026634739724949E-2</v>
      </c>
      <c r="D46" s="56">
        <f t="shared" si="26"/>
        <v>-0.11344281862183533</v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>
        <f t="shared" ref="C48:M48" si="27">IF(C6="","",C27/C6)</f>
        <v>8.7118265718036589E-2</v>
      </c>
      <c r="D48" s="61">
        <f t="shared" si="27"/>
        <v>0</v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>
        <f t="shared" ref="C49:M49" si="28">IF(C6="","",C28/C6)</f>
        <v>3.1704882298084218</v>
      </c>
      <c r="D49" s="56">
        <f t="shared" si="28"/>
        <v>0</v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0.23674800333023538</v>
      </c>
      <c r="D51" s="61" t="str">
        <f t="shared" ref="D51:M51" si="29">IF(D34="","",(D25-D34)/D25)</f>
        <v/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>
        <f t="shared" ref="C52:M52" si="30">IF(C19="","",IF(C33&lt;=0,"-",C19/C33))</f>
        <v>-0.13544494627583667</v>
      </c>
      <c r="D52" s="60" t="str">
        <f t="shared" si="30"/>
        <v>-</v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>
        <f t="shared" ref="C53:M53" si="31">IF(C19="","",IF(C17&lt;=0,"-",C17/C19))</f>
        <v>-0.41630479499017231</v>
      </c>
      <c r="D53" s="56">
        <f t="shared" si="31"/>
        <v>-0.34164907260386312</v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3.5066755118062995</v>
      </c>
      <c r="D54" s="62" t="str">
        <f t="shared" si="32"/>
        <v/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6" priority="3">
      <formula>LEN(TRIM(C6))=0</formula>
    </cfRule>
  </conditionalFormatting>
  <conditionalFormatting sqref="C23:M23">
    <cfRule type="containsBlanks" dxfId="5" priority="2">
      <formula>LEN(TRIM(C23))=0</formula>
    </cfRule>
  </conditionalFormatting>
  <conditionalFormatting sqref="D22:M22">
    <cfRule type="containsBlanks" dxfId="4" priority="1">
      <formula>LEN(TRIM(D22))=0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opLeftCell="A70" zoomScaleNormal="100" workbookViewId="0">
      <selection activeCell="C88" sqref="C88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0">
        <f>C49-I49</f>
        <v>12863898</v>
      </c>
      <c r="E3" s="73" t="str">
        <f>IF((C49-I49)=D3,"", "Error!")</f>
        <v/>
      </c>
      <c r="F3" s="94"/>
      <c r="G3" s="94"/>
      <c r="H3" s="47" t="s">
        <v>24</v>
      </c>
      <c r="I3" s="59">
        <v>12890860</v>
      </c>
      <c r="K3" s="24"/>
    </row>
    <row r="4" spans="1:11" ht="15" customHeight="1" x14ac:dyDescent="0.4">
      <c r="B4" s="3" t="s">
        <v>25</v>
      </c>
      <c r="C4" s="94"/>
      <c r="D4" s="69">
        <f>D3-I3</f>
        <v>-26962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3.5066755118062995</v>
      </c>
      <c r="K5" s="24"/>
    </row>
    <row r="6" spans="1:11" ht="15" customHeight="1" thickBot="1" x14ac:dyDescent="0.45">
      <c r="B6" s="20" t="s">
        <v>27</v>
      </c>
      <c r="C6" s="94"/>
      <c r="D6" s="75">
        <f>(E49-I49-E53)*Exchange_Rate</f>
        <v>4047188.9777345182</v>
      </c>
      <c r="E6" s="56">
        <f>1-D6/D3</f>
        <v>0.68538393434598766</v>
      </c>
      <c r="F6" s="94"/>
      <c r="G6" s="94"/>
      <c r="H6" s="1" t="s">
        <v>30</v>
      </c>
      <c r="I6" s="67">
        <f>(C24+C25)/I28</f>
        <v>0.74800394334750619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33.630855356055292</v>
      </c>
      <c r="E7" s="11" t="str">
        <f>Dashboard!H3</f>
        <v>HKD</v>
      </c>
      <c r="H7" s="1" t="s">
        <v>31</v>
      </c>
      <c r="I7" s="67">
        <f>C24/I28</f>
        <v>0.64376313868623514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3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219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1998219</v>
      </c>
      <c r="D11" s="64">
        <v>1</v>
      </c>
      <c r="E11" s="95">
        <f t="shared" ref="E11:E21" si="0">C11*D11</f>
        <v>1998219</v>
      </c>
      <c r="F11" s="127"/>
      <c r="G11" s="94"/>
      <c r="H11" s="3" t="s">
        <v>39</v>
      </c>
      <c r="I11" s="63">
        <v>362000</v>
      </c>
      <c r="J11" s="94"/>
      <c r="K11" s="24"/>
    </row>
    <row r="12" spans="1:11" ht="13.9" x14ac:dyDescent="0.4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287697</v>
      </c>
      <c r="J12" s="94"/>
      <c r="K12" s="24"/>
    </row>
    <row r="13" spans="1:11" ht="13.9" x14ac:dyDescent="0.4">
      <c r="B13" s="3" t="s">
        <v>121</v>
      </c>
      <c r="C13" s="63">
        <v>265773</v>
      </c>
      <c r="D13" s="64">
        <v>0.8</v>
      </c>
      <c r="E13" s="95">
        <f t="shared" si="0"/>
        <v>212618.40000000002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/>
      <c r="D14" s="64">
        <v>0.3</v>
      </c>
      <c r="E14" s="95">
        <f>C14*D14</f>
        <v>0</v>
      </c>
      <c r="F14" s="127"/>
      <c r="G14" s="94"/>
      <c r="H14" s="93" t="s">
        <v>43</v>
      </c>
      <c r="I14" s="144"/>
      <c r="J14" s="94"/>
      <c r="K14" s="27"/>
    </row>
    <row r="15" spans="1:11" ht="13.9" x14ac:dyDescent="0.4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649697</v>
      </c>
      <c r="J15" s="94"/>
    </row>
    <row r="16" spans="1:11" ht="13.9" x14ac:dyDescent="0.4">
      <c r="B16" s="1" t="s">
        <v>172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>
        <v>366595</v>
      </c>
      <c r="D17" s="64">
        <v>0.1</v>
      </c>
      <c r="E17" s="95">
        <f t="shared" si="0"/>
        <v>36659.5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9672256</v>
      </c>
      <c r="D18" s="64">
        <v>0.5</v>
      </c>
      <c r="E18" s="95">
        <f t="shared" si="0"/>
        <v>4836128</v>
      </c>
      <c r="F18" s="127"/>
      <c r="G18" s="94"/>
      <c r="H18" s="94"/>
      <c r="I18" s="94"/>
    </row>
    <row r="19" spans="2:10" ht="13.9" x14ac:dyDescent="0.4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29465</v>
      </c>
      <c r="D21" s="64">
        <v>0.95</v>
      </c>
      <c r="E21" s="95">
        <f t="shared" si="0"/>
        <v>27991.75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2867112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2263992</v>
      </c>
      <c r="D24" s="66">
        <f>IF(E24=0,0,E24/C24)</f>
        <v>0.97652173682592514</v>
      </c>
      <c r="E24" s="95">
        <f>SUM(E11:E14)</f>
        <v>2210837.4</v>
      </c>
      <c r="F24" s="129">
        <f>E24/$E$28</f>
        <v>0.31087690869838996</v>
      </c>
      <c r="G24" s="94"/>
    </row>
    <row r="25" spans="2:10" ht="15" customHeight="1" x14ac:dyDescent="0.4">
      <c r="B25" s="23" t="s">
        <v>55</v>
      </c>
      <c r="C25" s="65">
        <f>SUM(C15:C17)</f>
        <v>366595</v>
      </c>
      <c r="D25" s="66">
        <f>IF(E25=0,0,E25/C25)</f>
        <v>0.1</v>
      </c>
      <c r="E25" s="95">
        <f>SUM(E15:E17)</f>
        <v>36659.5</v>
      </c>
      <c r="F25" s="129">
        <f t="shared" ref="F25:F27" si="2">E25/$E$28</f>
        <v>5.1548757201360113E-3</v>
      </c>
      <c r="G25" s="94"/>
      <c r="H25" s="23" t="s">
        <v>56</v>
      </c>
      <c r="I25" s="67">
        <f>E28/I28</f>
        <v>2.0221788132366587</v>
      </c>
    </row>
    <row r="26" spans="2:10" ht="15" customHeight="1" x14ac:dyDescent="0.4">
      <c r="B26" s="23" t="s">
        <v>57</v>
      </c>
      <c r="C26" s="65">
        <f>C18+C19+C20</f>
        <v>9672256</v>
      </c>
      <c r="D26" s="66">
        <f t="shared" ref="D26:D27" si="3">IF(E26=0,0,E26/C26)</f>
        <v>0.5</v>
      </c>
      <c r="E26" s="95">
        <f>E18+E19+E20</f>
        <v>4836128</v>
      </c>
      <c r="F26" s="129">
        <f t="shared" si="2"/>
        <v>0.68003215555776619</v>
      </c>
      <c r="G26" s="94"/>
      <c r="H26" s="23" t="s">
        <v>58</v>
      </c>
      <c r="I26" s="67">
        <f>E24/($I$28-I22)</f>
        <v>3.4028745707614472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29465</v>
      </c>
      <c r="D27" s="66">
        <f t="shared" si="3"/>
        <v>0.95</v>
      </c>
      <c r="E27" s="95">
        <f>E21+E22</f>
        <v>27991.75</v>
      </c>
      <c r="F27" s="129">
        <f t="shared" si="2"/>
        <v>3.9360600237078299E-3</v>
      </c>
      <c r="G27" s="94"/>
      <c r="H27" s="23" t="s">
        <v>60</v>
      </c>
      <c r="I27" s="67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4">
      <c r="B28" s="85" t="s">
        <v>15</v>
      </c>
      <c r="C28" s="86">
        <f>SUM(C11:C22)</f>
        <v>12332308</v>
      </c>
      <c r="D28" s="61">
        <f t="shared" ref="D28" si="4">E28/C28</f>
        <v>0.57666550738110012</v>
      </c>
      <c r="E28" s="76">
        <f>SUM(E24:E27)</f>
        <v>7111616.6500000004</v>
      </c>
      <c r="F28" s="127"/>
      <c r="G28" s="94"/>
      <c r="H28" s="85" t="s">
        <v>16</v>
      </c>
      <c r="I28" s="72">
        <v>3516809</v>
      </c>
      <c r="J28" s="32">
        <f>IF(J26="",1,0)+IF(J27="",1,0)+IF(J46="",1,0)+IF(J47="",1,0)</f>
        <v>3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4">
      <c r="B31" s="3" t="s">
        <v>63</v>
      </c>
      <c r="C31" s="63"/>
      <c r="D31" s="64">
        <v>0.5</v>
      </c>
      <c r="E31" s="95">
        <f t="shared" ref="E31:E42" si="5">C31*D31</f>
        <v>0</v>
      </c>
      <c r="F31" s="127"/>
      <c r="G31" s="94"/>
      <c r="H31" s="3" t="s">
        <v>64</v>
      </c>
      <c r="I31" s="63">
        <v>319420</v>
      </c>
      <c r="J31" s="94"/>
    </row>
    <row r="32" spans="2:10" ht="15" customHeight="1" x14ac:dyDescent="0.4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173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4"/>
      <c r="J33" s="94"/>
    </row>
    <row r="34" spans="2:10" ht="13.9" x14ac:dyDescent="0.4">
      <c r="B34" s="3" t="s">
        <v>68</v>
      </c>
      <c r="C34" s="63">
        <v>103050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319420</v>
      </c>
      <c r="J34" s="94"/>
    </row>
    <row r="35" spans="2:10" ht="13.9" x14ac:dyDescent="0.4">
      <c r="B35" s="3" t="s">
        <v>70</v>
      </c>
      <c r="C35" s="63"/>
      <c r="D35" s="64">
        <v>0.1</v>
      </c>
      <c r="E35" s="95">
        <f t="shared" si="5"/>
        <v>0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>
        <v>925726</v>
      </c>
      <c r="D36" s="64">
        <v>0.2</v>
      </c>
      <c r="E36" s="95">
        <f t="shared" si="5"/>
        <v>185145.2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v>2522337</v>
      </c>
      <c r="D38" s="64">
        <v>0.1</v>
      </c>
      <c r="E38" s="95">
        <f>C38*D38</f>
        <v>252233.7</v>
      </c>
      <c r="F38" s="127"/>
      <c r="G38" s="94"/>
      <c r="H38" s="94"/>
      <c r="I38" s="94"/>
    </row>
    <row r="39" spans="2:10" ht="13.9" x14ac:dyDescent="0.4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538321</v>
      </c>
      <c r="D40" s="64">
        <v>0.05</v>
      </c>
      <c r="E40" s="95">
        <f t="shared" si="5"/>
        <v>26916.050000000003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154648</v>
      </c>
      <c r="D41" s="64">
        <v>0.95</v>
      </c>
      <c r="E41" s="95">
        <f t="shared" si="5"/>
        <v>146915.6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v>277674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153937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0</v>
      </c>
      <c r="D44" s="66">
        <f>IF(E44=0,0,E44/C44)</f>
        <v>0</v>
      </c>
      <c r="E44" s="95">
        <f>SUM(E30:E31)</f>
        <v>0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103050</v>
      </c>
      <c r="D45" s="66">
        <f>IF(E45=0,0,E45/C45)</f>
        <v>0</v>
      </c>
      <c r="E45" s="95">
        <f>SUM(E32:E35)</f>
        <v>0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3448063</v>
      </c>
      <c r="D46" s="66">
        <f t="shared" ref="D46:D47" si="6">IF(E46=0,0,E46/C46)</f>
        <v>0.12684771130921912</v>
      </c>
      <c r="E46" s="95">
        <f>E36+E37+E38+E39</f>
        <v>437378.9</v>
      </c>
      <c r="F46" s="94"/>
      <c r="G46" s="94"/>
      <c r="H46" s="23" t="s">
        <v>81</v>
      </c>
      <c r="I46" s="67">
        <f>(E44+E24)/E64</f>
        <v>2.2812904943365973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970643</v>
      </c>
      <c r="D47" s="66">
        <f t="shared" si="6"/>
        <v>0.17908917078678774</v>
      </c>
      <c r="E47" s="95">
        <f>E40+E41+E42</f>
        <v>173831.65000000002</v>
      </c>
      <c r="F47" s="94"/>
      <c r="G47" s="94"/>
      <c r="H47" s="23" t="s">
        <v>83</v>
      </c>
      <c r="I47" s="67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4521756</v>
      </c>
      <c r="D48" s="89">
        <f>E48/C48</f>
        <v>0.13517105965027748</v>
      </c>
      <c r="E48" s="83">
        <f>SUM(E30:E42)</f>
        <v>611210.55000000005</v>
      </c>
      <c r="F48" s="94"/>
      <c r="G48" s="94"/>
      <c r="H48" s="87" t="s">
        <v>85</v>
      </c>
      <c r="I48" s="90">
        <v>473357</v>
      </c>
      <c r="J48" s="8"/>
    </row>
    <row r="49" spans="2:10" ht="15" customHeight="1" thickTop="1" x14ac:dyDescent="0.4">
      <c r="B49" s="3" t="s">
        <v>14</v>
      </c>
      <c r="C49" s="65">
        <f>C28+C48</f>
        <v>16854064</v>
      </c>
      <c r="D49" s="56">
        <f>E49/C49</f>
        <v>0.45821750765868696</v>
      </c>
      <c r="E49" s="95">
        <f>E28+E48</f>
        <v>7722827.2000000002</v>
      </c>
      <c r="F49" s="94"/>
      <c r="G49" s="94"/>
      <c r="H49" s="3" t="s">
        <v>86</v>
      </c>
      <c r="I49" s="52">
        <f>I28+I48</f>
        <v>3990166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MAX(D4,0)</f>
        <v>0</v>
      </c>
      <c r="D53" s="29">
        <f>IF(E53=0, 0,E53/C53)</f>
        <v>0</v>
      </c>
      <c r="E53" s="95">
        <f>MAX(C53,C53*Dashboard!G23)</f>
        <v>0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7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08">
        <f>I15+I34</f>
        <v>969117</v>
      </c>
      <c r="E56" s="209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7">
        <v>0</v>
      </c>
      <c r="E57" s="206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7">
        <v>0</v>
      </c>
      <c r="E58" s="206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4"/>
      <c r="G61" s="94"/>
      <c r="H61" s="94"/>
      <c r="I61" s="94"/>
    </row>
    <row r="62" spans="2:10" ht="13.9" x14ac:dyDescent="0.4">
      <c r="B62" s="35" t="s">
        <v>152</v>
      </c>
      <c r="C62" s="141">
        <f>C11+C30</f>
        <v>1998219</v>
      </c>
      <c r="D62" s="122">
        <f t="shared" si="7"/>
        <v>1</v>
      </c>
      <c r="E62" s="142">
        <f>E11+E30</f>
        <v>1998219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2923945</v>
      </c>
      <c r="D63" s="29">
        <f t="shared" si="7"/>
        <v>0.74671862842837333</v>
      </c>
      <c r="E63" s="65">
        <f>E61+E62</f>
        <v>2183364.2000000002</v>
      </c>
      <c r="F63" s="94"/>
      <c r="G63" s="94"/>
      <c r="H63" s="94"/>
      <c r="I63" s="94"/>
    </row>
    <row r="64" spans="2:10" ht="14.25" thickBot="1" x14ac:dyDescent="0.45">
      <c r="B64" s="145" t="s">
        <v>164</v>
      </c>
      <c r="C64" s="146"/>
      <c r="D64" s="147"/>
      <c r="E64" s="75">
        <f>D56+D57+D58</f>
        <v>969117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1954828</v>
      </c>
      <c r="D65" s="29">
        <f t="shared" si="7"/>
        <v>0.62115296077199644</v>
      </c>
      <c r="E65" s="65">
        <f>E63-E64</f>
        <v>1214247.2000000002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13930119</v>
      </c>
      <c r="D68" s="29">
        <f t="shared" si="7"/>
        <v>0.3976608527177693</v>
      </c>
      <c r="E68" s="74">
        <f>E49-E63</f>
        <v>5539463</v>
      </c>
      <c r="F68" s="94"/>
      <c r="G68" s="94"/>
      <c r="H68" s="94"/>
      <c r="I68" s="94"/>
    </row>
    <row r="69" spans="1:9" ht="14.25" thickBot="1" x14ac:dyDescent="0.45">
      <c r="B69" s="145" t="s">
        <v>165</v>
      </c>
      <c r="C69" s="146"/>
      <c r="D69" s="147"/>
      <c r="E69" s="158">
        <f>I49-E64</f>
        <v>3021049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10909070</v>
      </c>
      <c r="D70" s="29">
        <f t="shared" si="7"/>
        <v>0.23085505913886334</v>
      </c>
      <c r="E70" s="74">
        <f>E68-E69</f>
        <v>2518414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13">
        <f>Data!C5</f>
        <v>45291</v>
      </c>
      <c r="D72" s="213"/>
      <c r="H72" s="50" t="s">
        <v>8</v>
      </c>
    </row>
    <row r="73" spans="1:9" ht="15" customHeight="1" x14ac:dyDescent="0.4">
      <c r="B73" s="12" t="str">
        <f>"(Numbers in "&amp;Data!E3&amp;Dashboard!G6&amp;")"</f>
        <v>(Numbers in 1000CNY)</v>
      </c>
      <c r="C73" s="212" t="s">
        <v>103</v>
      </c>
      <c r="D73" s="212"/>
      <c r="E73" s="214" t="s">
        <v>104</v>
      </c>
      <c r="F73" s="212"/>
    </row>
    <row r="74" spans="1:9" ht="15" customHeight="1" x14ac:dyDescent="0.4">
      <c r="B74" s="3" t="s">
        <v>136</v>
      </c>
      <c r="C74" s="95">
        <f>Data!C6</f>
        <v>3050715</v>
      </c>
      <c r="D74" s="130"/>
      <c r="E74" s="148">
        <f>C74</f>
        <v>3050715</v>
      </c>
      <c r="F74" s="130"/>
    </row>
    <row r="75" spans="1:9" ht="15" customHeight="1" x14ac:dyDescent="0.4">
      <c r="B75" s="117" t="s">
        <v>109</v>
      </c>
      <c r="C75" s="95">
        <f>Data!C8</f>
        <v>2577476</v>
      </c>
      <c r="D75" s="131">
        <f>C75/$C$74</f>
        <v>0.8448760372568398</v>
      </c>
      <c r="E75" s="148">
        <f>D75*E74</f>
        <v>2577476</v>
      </c>
      <c r="F75" s="149">
        <f>E75/$E$74</f>
        <v>0.8448760372568398</v>
      </c>
    </row>
    <row r="76" spans="1:9" ht="15" customHeight="1" x14ac:dyDescent="0.4">
      <c r="B76" s="35" t="s">
        <v>96</v>
      </c>
      <c r="C76" s="118">
        <f>C74-C75</f>
        <v>473239</v>
      </c>
      <c r="D76" s="132"/>
      <c r="E76" s="150">
        <f>E74-E75</f>
        <v>473239</v>
      </c>
      <c r="F76" s="132"/>
    </row>
    <row r="77" spans="1:9" ht="15" customHeight="1" x14ac:dyDescent="0.4">
      <c r="B77" s="117" t="s">
        <v>133</v>
      </c>
      <c r="C77" s="95">
        <f>Data!C10-Data!C12</f>
        <v>549856</v>
      </c>
      <c r="D77" s="131">
        <f>C77/$C$74</f>
        <v>0.18023840312844694</v>
      </c>
      <c r="E77" s="148">
        <f>D77*E74</f>
        <v>549856</v>
      </c>
      <c r="F77" s="149">
        <f>E77/$E$74</f>
        <v>0.18023840312844694</v>
      </c>
    </row>
    <row r="78" spans="1:9" ht="15" customHeight="1" x14ac:dyDescent="0.4">
      <c r="B78" s="35" t="s">
        <v>97</v>
      </c>
      <c r="C78" s="118">
        <f>C76-C77</f>
        <v>-76617</v>
      </c>
      <c r="D78" s="132"/>
      <c r="E78" s="150">
        <f>E76-E77</f>
        <v>-76617</v>
      </c>
      <c r="F78" s="132"/>
    </row>
    <row r="79" spans="1:9" ht="15" customHeight="1" x14ac:dyDescent="0.4">
      <c r="B79" s="117" t="s">
        <v>129</v>
      </c>
      <c r="C79" s="95">
        <f>Data!C17</f>
        <v>54645</v>
      </c>
      <c r="D79" s="131">
        <f>C79/$C$74</f>
        <v>1.7912194354438221E-2</v>
      </c>
      <c r="E79" s="148">
        <f>C79</f>
        <v>54645</v>
      </c>
      <c r="F79" s="149">
        <f>E79/$E$74</f>
        <v>1.7912194354438221E-2</v>
      </c>
    </row>
    <row r="80" spans="1:9" ht="15" customHeight="1" x14ac:dyDescent="0.4">
      <c r="B80" s="28" t="s">
        <v>135</v>
      </c>
      <c r="C80" s="95">
        <f>Data!C14+MAX(Data!C15,0)</f>
        <v>0</v>
      </c>
      <c r="D80" s="131">
        <f>C80/$C$74</f>
        <v>0</v>
      </c>
      <c r="E80" s="148">
        <f>3%*E74</f>
        <v>91521.45</v>
      </c>
      <c r="F80" s="149">
        <f t="shared" ref="F80:F83" si="8">E80/$E$74</f>
        <v>0.03</v>
      </c>
    </row>
    <row r="81" spans="1:8" ht="15" customHeight="1" x14ac:dyDescent="0.4">
      <c r="B81" s="28" t="s">
        <v>113</v>
      </c>
      <c r="C81" s="95">
        <f>MAX(Data!C16,0)</f>
        <v>0</v>
      </c>
      <c r="D81" s="131">
        <f>C81/$C$74</f>
        <v>0</v>
      </c>
      <c r="E81" s="148">
        <f>C81</f>
        <v>0</v>
      </c>
      <c r="F81" s="149">
        <f t="shared" si="8"/>
        <v>0</v>
      </c>
      <c r="H81" s="125" t="s">
        <v>141</v>
      </c>
    </row>
    <row r="82" spans="1:8" ht="15" customHeight="1" x14ac:dyDescent="0.4">
      <c r="B82" s="79" t="s">
        <v>190</v>
      </c>
      <c r="C82" s="95">
        <f>MAX(Data!C18,0)</f>
        <v>0</v>
      </c>
      <c r="D82" s="131">
        <f>C82/$C$74</f>
        <v>0</v>
      </c>
      <c r="E82" s="148">
        <v>0</v>
      </c>
      <c r="F82" s="149">
        <f t="shared" si="8"/>
        <v>0</v>
      </c>
    </row>
    <row r="83" spans="1:8" ht="15" customHeight="1" thickBot="1" x14ac:dyDescent="0.45">
      <c r="B83" s="119" t="s">
        <v>134</v>
      </c>
      <c r="C83" s="100">
        <f>C78-C79-C80-C81-C82</f>
        <v>-131262</v>
      </c>
      <c r="D83" s="133">
        <f>C83/$C$74</f>
        <v>-4.3026634739724949E-2</v>
      </c>
      <c r="E83" s="151">
        <f>E78-E79-E80-E81-E82</f>
        <v>-222783.45</v>
      </c>
      <c r="F83" s="135">
        <f t="shared" si="8"/>
        <v>-7.3026634739724955E-2</v>
      </c>
    </row>
    <row r="84" spans="1:8" ht="15" customHeight="1" thickTop="1" x14ac:dyDescent="0.4">
      <c r="B84" s="28" t="s">
        <v>98</v>
      </c>
      <c r="C84" s="121"/>
      <c r="D84" s="134"/>
      <c r="E84" s="152"/>
      <c r="F84" s="136">
        <v>0.25</v>
      </c>
    </row>
    <row r="85" spans="1:8" ht="15" customHeight="1" x14ac:dyDescent="0.4">
      <c r="B85" s="93" t="s">
        <v>179</v>
      </c>
      <c r="C85" s="118">
        <f>C83*(1-F84)</f>
        <v>-98446.5</v>
      </c>
      <c r="D85" s="135">
        <f>C85/$C$74</f>
        <v>-3.226997605479371E-2</v>
      </c>
      <c r="E85" s="153">
        <f>E83*(1-F84)</f>
        <v>-167087.58750000002</v>
      </c>
      <c r="F85" s="135">
        <f>E85/$E$74</f>
        <v>-5.4769976054793723E-2</v>
      </c>
    </row>
    <row r="86" spans="1:8" ht="15" customHeight="1" x14ac:dyDescent="0.4">
      <c r="B86" s="94" t="s">
        <v>174</v>
      </c>
      <c r="C86" s="159">
        <f>C85*Data!E3/Common_Shares</f>
        <v>-0.75448359096191708</v>
      </c>
      <c r="D86" s="130"/>
      <c r="E86" s="161">
        <f>E85*Data!E3/Common_Shares</f>
        <v>-1.2805416446716089</v>
      </c>
      <c r="F86" s="130"/>
    </row>
    <row r="87" spans="1:8" ht="15" customHeight="1" x14ac:dyDescent="0.4">
      <c r="B87" s="93" t="s">
        <v>175</v>
      </c>
      <c r="C87" s="162">
        <v>0</v>
      </c>
      <c r="D87" s="135">
        <f>C87/C86</f>
        <v>0</v>
      </c>
      <c r="E87" s="160">
        <f>C87</f>
        <v>0</v>
      </c>
      <c r="F87" s="135">
        <f>E87/E86</f>
        <v>0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10" t="s">
        <v>170</v>
      </c>
      <c r="E90" s="210"/>
      <c r="G90" s="94"/>
      <c r="H90" s="24"/>
    </row>
    <row r="91" spans="1:8" ht="15" customHeight="1" x14ac:dyDescent="0.4">
      <c r="B91" s="1" t="s">
        <v>192</v>
      </c>
      <c r="C91" s="64" t="s">
        <v>227</v>
      </c>
      <c r="D91" s="211" t="s">
        <v>220</v>
      </c>
      <c r="E91" s="211"/>
      <c r="F91" s="29">
        <f>E86*Exchange_Rate/Dashboard!G3</f>
        <v>-1.9150962745846989E-2</v>
      </c>
      <c r="H91" s="195"/>
    </row>
    <row r="92" spans="1:8" ht="15" customHeight="1" x14ac:dyDescent="0.4">
      <c r="B92" s="1" t="str">
        <f>IF(C91="CN",Dashboard!B17,Dashboard!B12)</f>
        <v>Required Return (CN)</v>
      </c>
      <c r="C92" s="173">
        <f>IF(C91="CN",Dashboard!C17,IF(C91="US",Dashboard!C12,IF(C91="HK",Dashboard!D12,Dashboard!D17)))</f>
        <v>8.8000000000000009E-2</v>
      </c>
      <c r="D92" s="194">
        <v>5</v>
      </c>
      <c r="E92" s="94" t="s">
        <v>221</v>
      </c>
      <c r="F92" s="193">
        <f>FV(F91,D92,0,-(E86/C92))</f>
        <v>-13.21057999838969</v>
      </c>
      <c r="H92" s="195"/>
    </row>
    <row r="93" spans="1:8" ht="15" customHeight="1" x14ac:dyDescent="0.4">
      <c r="H93" s="24"/>
    </row>
    <row r="94" spans="1:8" ht="15" customHeight="1" x14ac:dyDescent="0.4">
      <c r="A94" s="5"/>
      <c r="B94" s="120" t="str">
        <f xml:space="preserve"> "Valuation in "&amp;Dashboard!H3</f>
        <v>Valuation in HKD</v>
      </c>
      <c r="C94" s="163" t="str">
        <f>Dashboard!H3</f>
        <v>HKD</v>
      </c>
      <c r="D94" s="196" t="s">
        <v>223</v>
      </c>
      <c r="E94" s="155" t="s">
        <v>224</v>
      </c>
      <c r="H94" s="24"/>
    </row>
    <row r="95" spans="1:8" ht="15" customHeight="1" x14ac:dyDescent="0.4">
      <c r="B95" s="1" t="s">
        <v>140</v>
      </c>
      <c r="C95" s="102">
        <f>D95*Common_Shares/Data!E3</f>
        <v>-1225921.8945403465</v>
      </c>
      <c r="D95" s="154">
        <f>PV(C92,D92,0,-F92)*Exchange_Rate</f>
        <v>-9.3953360782926474</v>
      </c>
      <c r="E95" s="154">
        <f>PV(15%,D92,0,-F92)*Exchange_Rate</f>
        <v>-7.1214363138754742</v>
      </c>
      <c r="H95" s="24"/>
    </row>
    <row r="96" spans="1:8" ht="15" customHeight="1" x14ac:dyDescent="0.4">
      <c r="B96" s="28" t="s">
        <v>157</v>
      </c>
      <c r="C96" s="102">
        <f>E53*Exchange_Rate</f>
        <v>0</v>
      </c>
      <c r="D96" s="154">
        <f>C96*Data!$E$3/Common_Shares</f>
        <v>0</v>
      </c>
      <c r="E96" s="130"/>
      <c r="F96" s="137"/>
      <c r="H96" s="24"/>
    </row>
    <row r="97" spans="2:8" ht="15" customHeight="1" thickBot="1" x14ac:dyDescent="0.45">
      <c r="B97" s="119" t="s">
        <v>158</v>
      </c>
      <c r="C97" s="123">
        <f>(E65+MIN(0,E70))*Exchange_Rate</f>
        <v>1316564.1403738977</v>
      </c>
      <c r="D97" s="197">
        <f>C97*Data!$E$3/Common_Shares</f>
        <v>10.09000868858708</v>
      </c>
      <c r="E97" s="198"/>
      <c r="F97" s="156" t="s">
        <v>144</v>
      </c>
      <c r="H97" s="24"/>
    </row>
    <row r="98" spans="2:8" ht="15" customHeight="1" thickTop="1" x14ac:dyDescent="0.4">
      <c r="B98" s="1" t="s">
        <v>119</v>
      </c>
      <c r="C98" s="102">
        <f>C95-C96+$C$97</f>
        <v>90642.245833551278</v>
      </c>
      <c r="D98" s="124">
        <f>MAX(C98*Data!$E$3/Common_Shares,0)</f>
        <v>0.69467261029443028</v>
      </c>
      <c r="E98" s="124">
        <f>E95*Exchange_Rate-D96+D97</f>
        <v>2.3684939271736534</v>
      </c>
      <c r="F98" s="124">
        <f>D98*1.25</f>
        <v>0.86834076286803785</v>
      </c>
      <c r="H98" s="24"/>
    </row>
    <row r="99" spans="2:8" ht="15" customHeight="1" x14ac:dyDescent="0.4">
      <c r="H99" s="24"/>
    </row>
    <row r="100" spans="2:8" ht="15" customHeight="1" x14ac:dyDescent="0.4">
      <c r="B100" s="10" t="s">
        <v>177</v>
      </c>
      <c r="C100" s="163" t="str">
        <f>C94</f>
        <v>HKD</v>
      </c>
      <c r="D100" s="196"/>
      <c r="E100" s="155" t="s">
        <v>143</v>
      </c>
      <c r="F100" s="156" t="s">
        <v>144</v>
      </c>
      <c r="H100" s="24"/>
    </row>
    <row r="101" spans="2:8" ht="15" customHeight="1" x14ac:dyDescent="0.4">
      <c r="B101" s="1" t="s">
        <v>176</v>
      </c>
      <c r="C101" s="102">
        <f>D101*Common_Shares/Data!E3</f>
        <v>0</v>
      </c>
      <c r="D101" s="154">
        <f>E87/(C92-2%)*Exchange_Rate</f>
        <v>0</v>
      </c>
      <c r="E101" s="124">
        <f>D101*(1-25%)</f>
        <v>0</v>
      </c>
      <c r="F101" s="124">
        <f>D101*1.25</f>
        <v>0</v>
      </c>
      <c r="H101" s="24" t="s">
        <v>222</v>
      </c>
    </row>
    <row r="102" spans="2:8" ht="15" customHeight="1" x14ac:dyDescent="0.4">
      <c r="H102" s="24"/>
    </row>
    <row r="103" spans="2:8" ht="15" customHeight="1" x14ac:dyDescent="0.4">
      <c r="B103" s="10" t="s">
        <v>225</v>
      </c>
      <c r="C103" s="163" t="str">
        <f>C100</f>
        <v>HKD</v>
      </c>
      <c r="D103" s="196"/>
      <c r="E103" s="155" t="s">
        <v>143</v>
      </c>
      <c r="F103" s="156" t="s">
        <v>144</v>
      </c>
      <c r="H103" s="24"/>
    </row>
    <row r="104" spans="2:8" ht="15" customHeight="1" x14ac:dyDescent="0.4">
      <c r="B104" s="1" t="s">
        <v>226</v>
      </c>
      <c r="C104" s="102">
        <f>D104*Common_Shares/Data!E3</f>
        <v>45321.122916775639</v>
      </c>
      <c r="D104" s="154">
        <f>(D98+D101)/2</f>
        <v>0.34733630514721514</v>
      </c>
      <c r="E104" s="124">
        <f>D104*(1-25%)</f>
        <v>0.26050222886041136</v>
      </c>
      <c r="F104" s="124">
        <f>D104*1.25</f>
        <v>0.43417038143401893</v>
      </c>
    </row>
    <row r="106" spans="2:8" ht="15" customHeight="1" x14ac:dyDescent="0.4">
      <c r="B106" s="10" t="s">
        <v>180</v>
      </c>
      <c r="C106" s="164" t="s">
        <v>210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2024-11-11T05:45:39Z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