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C4ED297-AA09-4A82-9612-8C9362A81843}" xr6:coauthVersionLast="47" xr6:coauthVersionMax="47" xr10:uidLastSave="{00000000-0000-0000-0000-000000000000}"/>
  <bookViews>
    <workbookView xWindow="2205" yWindow="2205" windowWidth="12690" windowHeight="764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87" i="3" l="1"/>
  <c r="C87" i="3"/>
  <c r="I14" i="3"/>
  <c r="I11" i="3"/>
  <c r="C16" i="3"/>
  <c r="C14" i="3"/>
  <c r="D18" i="2"/>
  <c r="C18" i="2"/>
  <c r="D8" i="2" l="1"/>
  <c r="C8" i="2"/>
  <c r="D6" i="2"/>
  <c r="C6" i="2"/>
  <c r="C92" i="3" l="1"/>
  <c r="E7" i="2"/>
  <c r="E9" i="2"/>
  <c r="E11" i="2"/>
  <c r="E19" i="2"/>
  <c r="I19" i="2"/>
  <c r="H20" i="2" s="1"/>
  <c r="J19" i="2"/>
  <c r="I20" i="2" s="1"/>
  <c r="K19" i="2"/>
  <c r="J20" i="2" s="1"/>
  <c r="L19" i="2"/>
  <c r="K20" i="2" s="1"/>
  <c r="M19" i="2"/>
  <c r="L20" i="2" s="1"/>
  <c r="M20" i="2"/>
  <c r="D101" i="3" l="1"/>
  <c r="B92" i="3" l="1"/>
  <c r="G26" i="1" l="1"/>
  <c r="D47" i="2"/>
  <c r="C82" i="3"/>
  <c r="E44" i="2"/>
  <c r="C94" i="3"/>
  <c r="C100" i="3" s="1"/>
  <c r="C103" i="3" s="1"/>
  <c r="B94" i="3"/>
  <c r="C81" i="3"/>
  <c r="C80" i="3"/>
  <c r="E47" i="2"/>
  <c r="F47" i="2"/>
  <c r="G47" i="2"/>
  <c r="H47" i="2"/>
  <c r="I47" i="2"/>
  <c r="J47" i="2"/>
  <c r="K47" i="2"/>
  <c r="L47" i="2"/>
  <c r="M47" i="2"/>
  <c r="K21" i="2"/>
  <c r="L21" i="2"/>
  <c r="M21" i="2"/>
  <c r="G33" i="3"/>
  <c r="C45" i="2"/>
  <c r="K40" i="2"/>
  <c r="L40" i="2"/>
  <c r="M40" i="2"/>
  <c r="C29" i="2"/>
  <c r="C50" i="2" s="1"/>
  <c r="D44" i="2"/>
  <c r="F44" i="2"/>
  <c r="G44" i="2"/>
  <c r="H44" i="2"/>
  <c r="I44" i="2"/>
  <c r="J44" i="2"/>
  <c r="K44" i="2"/>
  <c r="L44" i="2"/>
  <c r="M44" i="2"/>
  <c r="D45" i="2"/>
  <c r="E45" i="2"/>
  <c r="F45" i="2"/>
  <c r="G45" i="2"/>
  <c r="H45" i="2"/>
  <c r="I45" i="2"/>
  <c r="J45" i="2"/>
  <c r="K45" i="2"/>
  <c r="L45" i="2"/>
  <c r="M45" i="2"/>
  <c r="C44" i="2"/>
  <c r="D50" i="2"/>
  <c r="I34" i="3"/>
  <c r="I53" i="2"/>
  <c r="J53" i="2"/>
  <c r="K53" i="2"/>
  <c r="L53" i="2"/>
  <c r="M53" i="2"/>
  <c r="E50" i="2"/>
  <c r="F50" i="2"/>
  <c r="G50" i="2"/>
  <c r="H50" i="2"/>
  <c r="I50" i="2"/>
  <c r="J50" i="2"/>
  <c r="K50" i="2"/>
  <c r="L50" i="2"/>
  <c r="M50" i="2"/>
  <c r="D51" i="2"/>
  <c r="E51" i="2"/>
  <c r="F51" i="2"/>
  <c r="G51" i="2"/>
  <c r="H51" i="2"/>
  <c r="I51" i="2"/>
  <c r="J51" i="2"/>
  <c r="K51" i="2"/>
  <c r="L51" i="2"/>
  <c r="M51" i="2"/>
  <c r="C30" i="2"/>
  <c r="C51" i="2" s="1"/>
  <c r="E9" i="3"/>
  <c r="E6" i="1" s="1"/>
  <c r="F101" i="3" l="1"/>
  <c r="C47" i="2"/>
  <c r="E101" i="3"/>
  <c r="C101" i="3"/>
  <c r="I15" i="3"/>
  <c r="D56" i="3" s="1"/>
  <c r="K39" i="2"/>
  <c r="L39" i="2"/>
  <c r="M39" i="2"/>
  <c r="C62" i="3"/>
  <c r="C26" i="2" l="1"/>
  <c r="B73" i="3"/>
  <c r="C74" i="3"/>
  <c r="C75" i="3"/>
  <c r="C77" i="3"/>
  <c r="C79" i="3"/>
  <c r="E79" i="3" s="1"/>
  <c r="E81" i="3"/>
  <c r="K24" i="2"/>
  <c r="L24" i="2"/>
  <c r="M24" i="2"/>
  <c r="D4" i="2"/>
  <c r="K48" i="2"/>
  <c r="L48" i="2"/>
  <c r="M48" i="2"/>
  <c r="D46" i="2"/>
  <c r="E46" i="2"/>
  <c r="F46" i="2"/>
  <c r="G46" i="2"/>
  <c r="H46" i="2"/>
  <c r="I46" i="2"/>
  <c r="J46" i="2"/>
  <c r="K46" i="2"/>
  <c r="L46" i="2"/>
  <c r="M46" i="2"/>
  <c r="C46" i="2"/>
  <c r="D43" i="2"/>
  <c r="E43" i="2"/>
  <c r="F43" i="2"/>
  <c r="G43" i="2"/>
  <c r="H43" i="2"/>
  <c r="I43" i="2"/>
  <c r="J43" i="2"/>
  <c r="K43" i="2"/>
  <c r="L43" i="2"/>
  <c r="M43" i="2"/>
  <c r="D42" i="2"/>
  <c r="E42" i="2"/>
  <c r="F42" i="2"/>
  <c r="G42" i="2"/>
  <c r="H42" i="2"/>
  <c r="I42" i="2"/>
  <c r="J42" i="2"/>
  <c r="K42" i="2"/>
  <c r="L42" i="2"/>
  <c r="M42" i="2"/>
  <c r="C42" i="2"/>
  <c r="K13" i="2"/>
  <c r="L13" i="2"/>
  <c r="M13" i="2"/>
  <c r="M7" i="2"/>
  <c r="D56" i="2"/>
  <c r="E56" i="2"/>
  <c r="F56" i="2"/>
  <c r="G56" i="2"/>
  <c r="H56" i="2"/>
  <c r="I56" i="2"/>
  <c r="J56" i="2"/>
  <c r="K56" i="2"/>
  <c r="L56" i="2"/>
  <c r="M56" i="2"/>
  <c r="D27" i="2"/>
  <c r="E27" i="2"/>
  <c r="E53" i="2" s="1"/>
  <c r="F27" i="2"/>
  <c r="F53" i="2" s="1"/>
  <c r="G27" i="2"/>
  <c r="G53" i="2" s="1"/>
  <c r="H27" i="2"/>
  <c r="I27" i="2"/>
  <c r="I39" i="2" s="1"/>
  <c r="J27" i="2"/>
  <c r="J39" i="2" s="1"/>
  <c r="K27" i="2"/>
  <c r="L27" i="2"/>
  <c r="M27" i="2"/>
  <c r="C31" i="2"/>
  <c r="C32" i="2"/>
  <c r="C25" i="3"/>
  <c r="M25" i="2"/>
  <c r="K23" i="2"/>
  <c r="L23" i="2"/>
  <c r="M23" i="2"/>
  <c r="D11" i="2"/>
  <c r="F11" i="2"/>
  <c r="G11" i="2"/>
  <c r="H11" i="2"/>
  <c r="I11" i="2"/>
  <c r="J11" i="2"/>
  <c r="K11" i="2"/>
  <c r="L11" i="2"/>
  <c r="M11" i="2"/>
  <c r="C11" i="2"/>
  <c r="D9" i="2"/>
  <c r="E13" i="2"/>
  <c r="E21" i="2" s="1"/>
  <c r="F9" i="2"/>
  <c r="G9" i="2"/>
  <c r="H9" i="2"/>
  <c r="I9" i="2"/>
  <c r="I13" i="2" s="1"/>
  <c r="I21" i="2" s="1"/>
  <c r="I40" i="2" s="1"/>
  <c r="J9" i="2"/>
  <c r="J13" i="2" s="1"/>
  <c r="K9" i="2"/>
  <c r="L9" i="2"/>
  <c r="M9" i="2"/>
  <c r="C9" i="2"/>
  <c r="C19" i="2" s="1"/>
  <c r="C43" i="2"/>
  <c r="D13" i="2" l="1"/>
  <c r="D21" i="2" s="1"/>
  <c r="D24" i="2" s="1"/>
  <c r="D19" i="2"/>
  <c r="D20" i="2" s="1"/>
  <c r="G13" i="2"/>
  <c r="G21" i="2" s="1"/>
  <c r="G19" i="2"/>
  <c r="G3" i="2"/>
  <c r="H13" i="2"/>
  <c r="H21" i="2" s="1"/>
  <c r="H48" i="2" s="1"/>
  <c r="H19" i="2"/>
  <c r="F13" i="2"/>
  <c r="F21" i="2" s="1"/>
  <c r="F19" i="2"/>
  <c r="E74" i="3"/>
  <c r="E80" i="3" s="1"/>
  <c r="J21" i="2"/>
  <c r="J40" i="2" s="1"/>
  <c r="I48" i="2"/>
  <c r="I24" i="2"/>
  <c r="H39" i="2"/>
  <c r="H40" i="2" s="1"/>
  <c r="H53" i="2"/>
  <c r="D77" i="3"/>
  <c r="D53" i="2"/>
  <c r="D39" i="2"/>
  <c r="E24" i="2"/>
  <c r="G39" i="2"/>
  <c r="G40" i="2" s="1"/>
  <c r="E39" i="2"/>
  <c r="E40" i="2" s="1"/>
  <c r="G24" i="2"/>
  <c r="F39" i="2"/>
  <c r="F40" i="2" s="1"/>
  <c r="F24" i="2"/>
  <c r="D81" i="3"/>
  <c r="C76" i="3"/>
  <c r="C78" i="3" s="1"/>
  <c r="D82" i="3"/>
  <c r="D75" i="3"/>
  <c r="D80" i="3"/>
  <c r="D79" i="3"/>
  <c r="L25" i="2"/>
  <c r="C13" i="2"/>
  <c r="C21" i="2" s="1"/>
  <c r="M55" i="2"/>
  <c r="K55" i="2"/>
  <c r="L55" i="2"/>
  <c r="M54" i="2"/>
  <c r="L54" i="2"/>
  <c r="I55" i="2"/>
  <c r="K54" i="2"/>
  <c r="C28" i="3"/>
  <c r="C28" i="2" s="1"/>
  <c r="D40" i="2" l="1"/>
  <c r="C20" i="2"/>
  <c r="E77" i="3"/>
  <c r="F77" i="3" s="1"/>
  <c r="C21" i="1" s="1"/>
  <c r="F3" i="2"/>
  <c r="G20" i="2"/>
  <c r="F4" i="2"/>
  <c r="H55" i="2"/>
  <c r="H24" i="2"/>
  <c r="H23" i="2" s="1"/>
  <c r="F20" i="2"/>
  <c r="E20" i="2"/>
  <c r="E75" i="3"/>
  <c r="F75" i="3" s="1"/>
  <c r="C20" i="1" s="1"/>
  <c r="F79" i="3"/>
  <c r="C22" i="1" s="1"/>
  <c r="F81" i="3"/>
  <c r="C24" i="1" s="1"/>
  <c r="C83" i="3"/>
  <c r="C85" i="3" s="1"/>
  <c r="J55" i="2"/>
  <c r="J24" i="2"/>
  <c r="J48" i="2"/>
  <c r="F82" i="3"/>
  <c r="F80" i="3"/>
  <c r="C23" i="1" s="1"/>
  <c r="J23" i="2"/>
  <c r="I23" i="2"/>
  <c r="C24" i="2"/>
  <c r="G48" i="2"/>
  <c r="D48" i="2"/>
  <c r="E55" i="2"/>
  <c r="E48" i="2"/>
  <c r="F55" i="2"/>
  <c r="F48" i="2"/>
  <c r="D55" i="2"/>
  <c r="G55" i="2"/>
  <c r="C34" i="2"/>
  <c r="C33" i="2"/>
  <c r="C47" i="3"/>
  <c r="C45" i="3"/>
  <c r="C27" i="3"/>
  <c r="C26" i="3"/>
  <c r="C44" i="3"/>
  <c r="C46" i="3"/>
  <c r="E76" i="3" l="1"/>
  <c r="E78" i="3" s="1"/>
  <c r="E83" i="3" s="1"/>
  <c r="D83" i="3"/>
  <c r="D85" i="3"/>
  <c r="C86" i="3"/>
  <c r="D87" i="3" s="1"/>
  <c r="C25" i="1"/>
  <c r="C48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5" i="2"/>
  <c r="D35" i="2"/>
  <c r="E35" i="2"/>
  <c r="F35" i="2"/>
  <c r="D6" i="1"/>
  <c r="C24" i="3"/>
  <c r="I6" i="3" s="1"/>
  <c r="G35" i="2"/>
  <c r="H35" i="2"/>
  <c r="H54" i="2" s="1"/>
  <c r="I35" i="2"/>
  <c r="I54" i="2" s="1"/>
  <c r="J35" i="2"/>
  <c r="J54" i="2" s="1"/>
  <c r="K35" i="2"/>
  <c r="L35" i="2"/>
  <c r="M35" i="2"/>
  <c r="H7" i="1"/>
  <c r="C7" i="2"/>
  <c r="C23" i="2" s="1"/>
  <c r="M22" i="2"/>
  <c r="L7" i="2"/>
  <c r="K25" i="2" s="1"/>
  <c r="K7" i="2"/>
  <c r="J25" i="2" s="1"/>
  <c r="J7" i="2"/>
  <c r="I25" i="2" s="1"/>
  <c r="I7" i="2"/>
  <c r="H25" i="2" s="1"/>
  <c r="H7" i="2"/>
  <c r="G25" i="2" s="1"/>
  <c r="G7" i="2"/>
  <c r="F7" i="2"/>
  <c r="D7" i="2"/>
  <c r="G5" i="1"/>
  <c r="C2" i="1"/>
  <c r="C56" i="2"/>
  <c r="D95" i="3" l="1"/>
  <c r="C95" i="3" s="1"/>
  <c r="G24" i="1"/>
  <c r="F87" i="3"/>
  <c r="G25" i="1" s="1"/>
  <c r="C61" i="3"/>
  <c r="E61" i="3"/>
  <c r="E63" i="3" s="1"/>
  <c r="D25" i="2"/>
  <c r="E23" i="2"/>
  <c r="D23" i="2"/>
  <c r="C25" i="2"/>
  <c r="F23" i="2"/>
  <c r="E25" i="2"/>
  <c r="F25" i="2"/>
  <c r="G23" i="2"/>
  <c r="F54" i="2"/>
  <c r="E54" i="2"/>
  <c r="D54" i="2"/>
  <c r="G54" i="2"/>
  <c r="C55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C54" i="2"/>
  <c r="E65" i="3" l="1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9" i="2"/>
  <c r="C40" i="2" s="1"/>
  <c r="D49" i="3"/>
  <c r="D68" i="3"/>
  <c r="D4" i="3"/>
  <c r="C53" i="3" s="1"/>
  <c r="C36" i="2"/>
  <c r="G23" i="1" s="1"/>
  <c r="J47" i="3"/>
  <c r="J28" i="3" s="1"/>
  <c r="C27" i="2" l="1"/>
  <c r="C53" i="2" s="1"/>
  <c r="E53" i="3"/>
  <c r="C37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<sst xmlns="http://schemas.openxmlformats.org/spreadsheetml/2006/main" count="261" uniqueCount="238">
  <si>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</si>
  <si>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</si>
  <si>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</si>
  <si>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</si>
  <si>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</si>
  <si>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</si>
  <si>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</si>
  <si>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</si>
  <si>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</si>
  <si>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</si>
  <si>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</si>
  <si>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</si>
  <si>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</si>
  <si>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</si>
  <si>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</si>
  <si>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</si>
  <si>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</si>
  <si>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</si>
  <si>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</si>
  <si>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</si>
  <si>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</si>
  <si>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</si>
  <si>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</si>
  <si>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</si>
  <si>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</si>
  <si>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</si>
  <si>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</si>
  <si>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</si>
  <si>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</si>
  <si>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</si>
  <si>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</si>
  <si>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</si>
  <si>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</si>
  <si>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</si>
  <si>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</si>
  <si>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</si>
  <si>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</si>
  <si>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</si>
  <si>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</si>
  <si>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</si>
  <si>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</si>
  <si>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</si>
  <si>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</si>
  <si>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</si>
  <si>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</si>
  <si>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</si>
  <si>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</si>
  <si>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</si>
  <si>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</si>
  <si>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</si>
  <si>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</si>
  <si>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</si>
  <si>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</si>
  <si>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</si>
  <si>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</si>
  <si>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</si>
  <si>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</si>
  <si>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</si>
  <si>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</si>
  <si>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</si>
  <si>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</si>
  <si>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</si>
  <si>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</si>
  <si>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</si>
  <si>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</si>
  <si>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</si>
  <si>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</si>
  <si>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</si>
  <si>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</si>
  <si>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</si>
  <si>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</si>
  <si>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</si>
  <si>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</si>
  <si>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</si>
  <si>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</si>
  <si>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</si>
  <si>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</si>
  <si>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</si>
  <si>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</si>
  <si>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</si>
  <si>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</si>
  <si>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</si>
  <si>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</si>
  <si>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</si>
  <si>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</si>
  <si>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</si>
  <si>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</si>
  <si>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</si>
  <si>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</si>
  <si>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</si>
  <si>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</si>
  <si>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</si>
  <si>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</si>
  <si>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</si>
  <si>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</si>
  <si>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</si>
  <si>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</si>
  <si>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</si>
  <si>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</si>
  <si>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</si>
  <si>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</si>
  <si>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</si>
  <si>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</si>
  <si>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</si>
  <si>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</si>
  <si>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</si>
  <si>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</si>
  <si>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</si>
  <si>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</si>
  <si>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</si>
  <si>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</si>
  <si>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</si>
  <si>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</si>
  <si>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</si>
  <si>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</si>
  <si>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</si>
  <si>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</si>
  <si>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</si>
  <si>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</si>
  <si>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</si>
  <si>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</si>
  <si>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</si>
  <si>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</si>
  <si>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</si>
  <si>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</si>
  <si>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</si>
  <si>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</si>
  <si>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</si>
  <si>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</si>
  <si>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</si>
  <si>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</si>
  <si>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</si>
  <si>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</si>
  <si>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</si>
  <si>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</si>
  <si>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</si>
  <si>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</si>
  <si>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</si>
  <si>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</si>
  <si>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</si>
  <si>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</si>
  <si>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</si>
  <si>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</si>
  <si>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</si>
  <si>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</si>
  <si>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</si>
  <si>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</si>
  <si>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</si>
  <si>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</si>
  <si>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</si>
  <si>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</si>
  <si>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</si>
  <si>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</si>
  <si>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</si>
  <si>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</si>
  <si>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</si>
  <si>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</si>
  <si>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</si>
  <si>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</si>
  <si>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</si>
  <si>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</si>
  <si>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</si>
  <si>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</si>
  <si>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</si>
  <si>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</si>
  <si>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</si>
  <si>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</si>
  <si>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</si>
  <si>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</si>
  <si>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</si>
  <si>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</si>
  <si>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</si>
  <si>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</si>
  <si>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</si>
  <si>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</si>
  <si>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</si>
  <si>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</si>
  <si>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</si>
  <si>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</si>
  <si>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</si>
  <si>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</si>
  <si>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</si>
  <si>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</si>
  <si>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</si>
  <si>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</si>
  <si>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</si>
  <si>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</si>
  <si>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</si>
  <si>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</si>
  <si>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</si>
  <si>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</si>
  <si>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</si>
  <si>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</si>
  <si>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</si>
  <si>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</si>
  <si>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</si>
  <si>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</si>
  <si>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</si>
  <si>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</si>
  <si>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</si>
  <si>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</si>
  <si>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</si>
  <si>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</si>
  <si>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</si>
  <si>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</si>
  <si>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</si>
  <si>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</si>
  <si>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</si>
  <si>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</si>
  <si>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</si>
  <si>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</si>
  <si>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</si>
  <si>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</si>
  <si>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</si>
  <si>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</si>
  <si>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</si>
  <si>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</si>
  <si>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</si>
  <si>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</si>
  <si>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</si>
  <si>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</si>
  <si>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</si>
  <si>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</si>
  <si>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</si>
  <si>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</si>
  <si>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</si>
  <si>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</si>
  <si>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</si>
  <si>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</si>
  <si>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</si>
  <si>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</si>
  <si>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</si>
  <si>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</si>
  <si>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</si>
  <si>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Dividend</t>
  </si>
  <si>
    <t>中银香港</t>
    <phoneticPr fontId="20" type="noConversion"/>
  </si>
  <si>
    <t>2388.HK</t>
    <phoneticPr fontId="20" type="noConversion"/>
  </si>
  <si>
    <t>C0014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</si>
</sst>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@ &quot;0.00%&quot; Growth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  <font>
      <u/>
      <sz val="11"/>
      <color rgb="FF0000FF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2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0" fontId="26" fillId="0" borderId="3" xfId="2" applyFont="1" applyBorder="1"/>
    <xf numFmtId="184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6" fillId="0" borderId="0" xfId="0" quotePrefix="1" applyFont="1" applyAlignment="1">
      <alignment horizontal="center"/>
    </xf>
    <xf numFmtId="187" fontId="27" fillId="8" borderId="0" xfId="0" applyNumberFormat="1" applyFont="1" applyFill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9" fontId="10" fillId="10" borderId="3" xfId="0" applyNumberFormat="1" applyFont="1" applyFill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10" fontId="10" fillId="10" borderId="4" xfId="0" applyNumberFormat="1" applyFont="1" applyFill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0" fontId="4" fillId="10" borderId="0" xfId="0" applyFont="1" applyFill="1" applyAlignment="1">
      <alignment horizontal="right"/>
    </xf>
    <xf numFmtId="0" fontId="10" fillId="10" borderId="0" xfId="0" applyFont="1" applyFill="1" applyAlignment="1">
      <alignment horizontal="right"/>
    </xf>
    <xf numFmtId="3" fontId="2" fillId="10" borderId="11" xfId="0" applyNumberFormat="1" applyFont="1" applyFill="1" applyBorder="1" applyAlignment="1">
      <alignment horizontal="right"/>
    </xf>
    <xf numFmtId="10" fontId="23" fillId="0" borderId="3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3" fontId="2" fillId="9" borderId="5" xfId="0" applyNumberFormat="1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3" sqref="C13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0"/>
      <c r="C1" s="90"/>
      <c r="D1" s="90"/>
      <c r="E1" s="90"/>
      <c r="F1" s="90"/>
      <c r="G1" s="90"/>
      <c r="H1" s="90"/>
    </row>
    <row r="2" spans="1:10" ht="15.75" customHeight="1" x14ac:dyDescent="0.4">
      <c r="A2" s="5"/>
      <c r="B2" s="6" t="s">
        <v>0</v>
      </c>
      <c r="C2" s="25" t="str">
        <f>C3&amp;" : "&amp;C4</f>
        <v>2388.HK : 中银香港</v>
      </c>
      <c r="D2" s="90"/>
      <c r="E2" s="7"/>
      <c r="F2" s="7"/>
      <c r="G2" s="89"/>
      <c r="H2" s="89"/>
    </row>
    <row r="3" spans="1:10" ht="15.75" customHeight="1" x14ac:dyDescent="0.4">
      <c r="B3" s="3" t="s">
        <v>216</v>
      </c>
      <c r="C3" s="212" t="s">
        <v>236</v>
      </c>
      <c r="D3" s="213"/>
      <c r="E3" s="90"/>
      <c r="F3" s="3" t="s">
        <v>1</v>
      </c>
      <c r="G3" s="142">
        <v>25.799999237060547</v>
      </c>
      <c r="H3" s="144" t="s">
        <v>2</v>
      </c>
    </row>
    <row r="4" spans="1:10" ht="15.75" customHeight="1" x14ac:dyDescent="0.5">
      <c r="B4" s="35" t="s">
        <v>217</v>
      </c>
      <c r="C4" s="214" t="s">
        <v>235</v>
      </c>
      <c r="D4" s="215"/>
      <c r="E4" s="90"/>
      <c r="F4" s="3" t="s">
        <v>3</v>
      </c>
      <c r="G4" s="218">
        <v>10572780266</v>
      </c>
      <c r="H4" s="218"/>
      <c r="I4" s="39"/>
    </row>
    <row r="5" spans="1:10" ht="15.75" customHeight="1" x14ac:dyDescent="0.4">
      <c r="B5" s="3" t="s">
        <v>178</v>
      </c>
      <c r="C5" s="216">
        <v>45593</v>
      </c>
      <c r="D5" s="217"/>
      <c r="E5" s="34"/>
      <c r="F5" s="35" t="s">
        <v>102</v>
      </c>
      <c r="G5" s="210">
        <f>G3*G4/1000000</f>
        <v>272777.72279640881</v>
      </c>
      <c r="H5" s="210"/>
      <c r="I5" s="38"/>
      <c r="J5" s="28"/>
    </row>
    <row r="6" spans="1:10" ht="15.75" customHeight="1" x14ac:dyDescent="0.4">
      <c r="B6" s="90" t="s">
        <v>4</v>
      </c>
      <c r="C6" s="155">
        <v>8</v>
      </c>
      <c r="D6" s="15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11" t="s">
        <v>2</v>
      </c>
      <c r="H6" s="211"/>
      <c r="I6" s="38"/>
    </row>
    <row r="7" spans="1:10" ht="15.75" customHeight="1" x14ac:dyDescent="0.4">
      <c r="B7" s="89" t="s">
        <v>214</v>
      </c>
      <c r="C7" s="154" t="s">
        <v>46</v>
      </c>
      <c r="D7" s="158" t="s">
        <v>237</v>
      </c>
      <c r="E7" s="90"/>
      <c r="F7" s="35" t="s">
        <v>6</v>
      </c>
      <c r="G7" s="143">
        <v>1</v>
      </c>
      <c r="H7" s="74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49" t="s">
        <v>212</v>
      </c>
      <c r="F9" s="153" t="s">
        <v>206</v>
      </c>
    </row>
    <row r="10" spans="1:10" ht="15.75" customHeight="1" x14ac:dyDescent="0.4">
      <c r="B10" s="1" t="s">
        <v>195</v>
      </c>
      <c r="C10" s="202">
        <v>4.2099999999999999E-2</v>
      </c>
      <c r="F10" s="115" t="s">
        <v>203</v>
      </c>
    </row>
    <row r="11" spans="1:10" ht="15.75" customHeight="1" thickBot="1" x14ac:dyDescent="0.45">
      <c r="B11" s="130" t="s">
        <v>199</v>
      </c>
      <c r="C11" s="203">
        <v>5.3099999999999994E-2</v>
      </c>
      <c r="D11" s="147" t="s">
        <v>210</v>
      </c>
      <c r="F11" s="115" t="s">
        <v>197</v>
      </c>
    </row>
    <row r="12" spans="1:10" ht="15.75" customHeight="1" thickTop="1" x14ac:dyDescent="0.4">
      <c r="B12" s="90" t="s">
        <v>142</v>
      </c>
      <c r="C12" s="204">
        <v>0.08</v>
      </c>
      <c r="D12" s="202">
        <v>8.4000000000000005E-2</v>
      </c>
      <c r="F12" s="115"/>
    </row>
    <row r="13" spans="1:10" ht="15.75" customHeight="1" x14ac:dyDescent="0.4"/>
    <row r="14" spans="1:10" ht="15.75" customHeight="1" x14ac:dyDescent="0.4">
      <c r="B14" s="1" t="s">
        <v>196</v>
      </c>
      <c r="C14" s="202">
        <v>2.1309999999999999E-2</v>
      </c>
      <c r="F14" s="115" t="s">
        <v>202</v>
      </c>
    </row>
    <row r="15" spans="1:10" ht="15.75" customHeight="1" x14ac:dyDescent="0.4">
      <c r="B15" s="1" t="s">
        <v>207</v>
      </c>
      <c r="C15" s="202">
        <v>6.5000000000000002E-2</v>
      </c>
      <c r="F15" s="115" t="s">
        <v>200</v>
      </c>
    </row>
    <row r="16" spans="1:10" ht="15.75" customHeight="1" thickBot="1" x14ac:dyDescent="0.45">
      <c r="B16" s="130" t="s">
        <v>208</v>
      </c>
      <c r="C16" s="203">
        <v>0.16</v>
      </c>
      <c r="D16" s="157" t="s">
        <v>211</v>
      </c>
      <c r="F16" s="115" t="s">
        <v>198</v>
      </c>
    </row>
    <row r="17" spans="1:8" ht="15.75" customHeight="1" thickTop="1" x14ac:dyDescent="0.4">
      <c r="B17" s="90" t="s">
        <v>201</v>
      </c>
      <c r="C17" s="205">
        <v>8.8000000000000009E-2</v>
      </c>
      <c r="D17" s="206"/>
    </row>
    <row r="18" spans="1:8" ht="15.75" customHeight="1" x14ac:dyDescent="0.4"/>
    <row r="19" spans="1:8" ht="15.75" customHeight="1" x14ac:dyDescent="0.4">
      <c r="B19" s="152" t="s">
        <v>204</v>
      </c>
      <c r="C19" s="145" t="s">
        <v>52</v>
      </c>
      <c r="D19" s="90"/>
      <c r="E19" s="90"/>
      <c r="F19" s="44"/>
      <c r="G19" s="90"/>
      <c r="H19" s="90"/>
    </row>
    <row r="20" spans="1:8" ht="15.75" customHeight="1" x14ac:dyDescent="0.4">
      <c r="B20" s="147" t="s">
        <v>185</v>
      </c>
      <c r="C20" s="201">
        <f>Fin_Analysis!F75</f>
        <v>2.8609905101246377E-2</v>
      </c>
      <c r="F20" s="90"/>
      <c r="G20" s="29"/>
    </row>
    <row r="21" spans="1:8" ht="15.75" customHeight="1" x14ac:dyDescent="0.4">
      <c r="B21" s="147" t="s">
        <v>186</v>
      </c>
      <c r="C21" s="201">
        <f>Fin_Analysis!F77</f>
        <v>0.11648068007266453</v>
      </c>
      <c r="F21" s="90"/>
      <c r="G21" s="29"/>
    </row>
    <row r="22" spans="1:8" ht="15.75" customHeight="1" x14ac:dyDescent="0.4">
      <c r="B22" s="147" t="s">
        <v>187</v>
      </c>
      <c r="C22" s="201">
        <f>Fin_Analysis!F79</f>
        <v>0.54295694135635775</v>
      </c>
      <c r="F22" s="152" t="s">
        <v>205</v>
      </c>
    </row>
    <row r="23" spans="1:8" ht="15.75" customHeight="1" x14ac:dyDescent="0.4">
      <c r="B23" s="147" t="s">
        <v>188</v>
      </c>
      <c r="C23" s="201">
        <f>Fin_Analysis!F80</f>
        <v>0.03</v>
      </c>
      <c r="F23" s="150" t="s">
        <v>209</v>
      </c>
      <c r="G23" s="207">
        <f>G3/(Data!C36*Data!C4/Common_Shares*Exchange_Rate)</f>
        <v>0.82676451289169595</v>
      </c>
    </row>
    <row r="24" spans="1:8" ht="15.75" customHeight="1" x14ac:dyDescent="0.4">
      <c r="B24" s="147" t="s">
        <v>189</v>
      </c>
      <c r="C24" s="201">
        <f>Fin_Analysis!F81</f>
        <v>0</v>
      </c>
      <c r="F24" s="150" t="s">
        <v>194</v>
      </c>
      <c r="G24" s="208">
        <f>(Fin_Analysis!E86*G7)/G3</f>
        <v>0.11052628195192531</v>
      </c>
    </row>
    <row r="25" spans="1:8" ht="15.75" customHeight="1" x14ac:dyDescent="0.4">
      <c r="B25" s="147" t="s">
        <v>213</v>
      </c>
      <c r="C25" s="201">
        <f>Fin_Analysis!F82</f>
        <v>0</v>
      </c>
      <c r="F25" s="150" t="s">
        <v>193</v>
      </c>
      <c r="G25" s="201">
        <f>Fin_Analysis!F87</f>
        <v>0.5190108792998267</v>
      </c>
    </row>
    <row r="26" spans="1:8" ht="15.75" customHeight="1" x14ac:dyDescent="0.4">
      <c r="B26" s="148" t="s">
        <v>191</v>
      </c>
      <c r="C26" s="201">
        <f>Fin_Analysis!F83</f>
        <v>0.28195247346973129</v>
      </c>
      <c r="F26" s="151" t="s">
        <v>215</v>
      </c>
      <c r="G26" s="208">
        <f>Fin_Analysis!E87*Exchange_Rate/G3</f>
        <v>5.7364342781609311E-2</v>
      </c>
    </row>
    <row r="27" spans="1:8" ht="15.75" customHeight="1" x14ac:dyDescent="0.4"/>
    <row r="28" spans="1:8" ht="15.75" customHeight="1" x14ac:dyDescent="0.4">
      <c r="A28" s="5"/>
      <c r="B28" s="94" t="s">
        <v>7</v>
      </c>
      <c r="C28" s="93" t="s">
        <v>182</v>
      </c>
      <c r="D28" s="43" t="s">
        <v>183</v>
      </c>
      <c r="E28" s="59"/>
      <c r="F28" s="53" t="s">
        <v>181</v>
      </c>
      <c r="G28" s="89"/>
      <c r="H28" s="89"/>
    </row>
    <row r="29" spans="1:8" ht="15.75" customHeight="1" x14ac:dyDescent="0.4">
      <c r="B29" s="90" t="s">
        <v>184</v>
      </c>
      <c r="C29" s="140">
        <f>IF(Fin_Analysis!C106="Profit",Fin_Analysis!E98,IF(Fin_Analysis!C106="Dividend",Fin_Analysis!E101,Fin_Analysis!E104))</f>
        <v>17.34375</v>
      </c>
      <c r="D29" s="139">
        <f>IF(Fin_Analysis!C106="Profit",Fin_Analysis!F98,IF(Fin_Analysis!C106="Dividend",Fin_Analysis!F101,Fin_Analysis!F104))</f>
        <v>28.90625</v>
      </c>
      <c r="E29" s="90"/>
      <c r="F29" s="141">
        <f>IF(Fin_Analysis!C106="Profit",Fin_Analysis!D98,IF(Fin_Analysis!C106="Dividend",Fin_Analysis!D101,Fin_Analysis!D104))</f>
        <v>23.125</v>
      </c>
      <c r="H29" s="90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2" priority="4">
      <formula>LEN(TRIM(C11))=0</formula>
    </cfRule>
  </conditionalFormatting>
  <conditionalFormatting sqref="D12">
    <cfRule type="containsBlanks" dxfId="11" priority="2">
      <formula>LEN(TRIM(D12))=0</formula>
    </cfRule>
  </conditionalFormatting>
  <conditionalFormatting sqref="D17">
    <cfRule type="containsBlanks" dxfId="10" priority="1">
      <formula>LEN(TRIM(D17))=0</formula>
    </cfRule>
  </conditionalFormatting>
  <conditionalFormatting sqref="E28">
    <cfRule type="cellIs" dxfId="9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5" sqref="C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66" t="s">
        <v>227</v>
      </c>
      <c r="F2" s="127" t="s">
        <v>230</v>
      </c>
      <c r="G2" s="166" t="s">
        <v>231</v>
      </c>
      <c r="H2" s="165" t="s">
        <v>232</v>
      </c>
      <c r="I2" s="7"/>
      <c r="J2" s="90"/>
      <c r="K2" s="7"/>
      <c r="L2" s="7"/>
      <c r="M2" s="7"/>
    </row>
    <row r="3" spans="1:14" ht="15.75" customHeight="1" x14ac:dyDescent="0.4">
      <c r="A3" s="4"/>
      <c r="B3" s="108" t="s">
        <v>10</v>
      </c>
      <c r="C3" s="92">
        <v>45291</v>
      </c>
      <c r="E3" s="164" t="s">
        <v>228</v>
      </c>
      <c r="F3" s="88" t="str">
        <f>H19</f>
        <v/>
      </c>
      <c r="G3" s="88">
        <f>C19</f>
        <v>41630.666666666664</v>
      </c>
      <c r="H3" s="88">
        <v>6</v>
      </c>
      <c r="I3" s="90"/>
      <c r="J3" s="42"/>
      <c r="K3" s="90"/>
      <c r="L3" s="90"/>
      <c r="M3" s="90"/>
    </row>
    <row r="4" spans="1:14" ht="15.75" customHeight="1" x14ac:dyDescent="0.4">
      <c r="A4" s="4"/>
      <c r="B4" s="108" t="s">
        <v>11</v>
      </c>
      <c r="C4" s="88">
        <v>1000000</v>
      </c>
      <c r="D4" s="1" t="str">
        <f>Dashboard!G6</f>
        <v>HKD</v>
      </c>
      <c r="E4" s="164" t="s">
        <v>229</v>
      </c>
      <c r="F4" s="97" t="e">
        <f>(G3/F3)^(1/H3)-1</f>
        <v>#VALUE!</v>
      </c>
      <c r="J4" s="90"/>
    </row>
    <row r="5" spans="1:14" ht="15.75" customHeight="1" x14ac:dyDescent="0.4">
      <c r="A5" s="16"/>
      <c r="B5" s="123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8" t="s">
        <v>12</v>
      </c>
      <c r="C6" s="209">
        <f>128489+12187+1897</f>
        <v>142573</v>
      </c>
      <c r="D6" s="209">
        <f>63770+12360+1694</f>
        <v>77824</v>
      </c>
      <c r="E6" s="169"/>
      <c r="F6" s="169"/>
      <c r="G6" s="169"/>
      <c r="H6" s="169"/>
      <c r="I6" s="169"/>
      <c r="J6" s="169"/>
      <c r="K6" s="169"/>
      <c r="L6" s="169"/>
      <c r="M6" s="169"/>
      <c r="N6" s="90"/>
    </row>
    <row r="7" spans="1:14" ht="15.75" customHeight="1" x14ac:dyDescent="0.4">
      <c r="A7" s="4"/>
      <c r="B7" s="100" t="s">
        <v>13</v>
      </c>
      <c r="C7" s="96">
        <f t="shared" ref="C7:M7" si="1">IF(D6="","",C6/D6-1)</f>
        <v>0.83199270148026305</v>
      </c>
      <c r="D7" s="96" t="str">
        <f t="shared" si="1"/>
        <v/>
      </c>
      <c r="E7" s="96" t="str">
        <f t="shared" si="1"/>
        <v/>
      </c>
      <c r="F7" s="96" t="str">
        <f t="shared" si="1"/>
        <v/>
      </c>
      <c r="G7" s="96" t="str">
        <f t="shared" si="1"/>
        <v/>
      </c>
      <c r="H7" s="96" t="str">
        <f t="shared" si="1"/>
        <v/>
      </c>
      <c r="I7" s="96" t="str">
        <f t="shared" si="1"/>
        <v/>
      </c>
      <c r="J7" s="96" t="str">
        <f t="shared" si="1"/>
        <v/>
      </c>
      <c r="K7" s="96" t="str">
        <f t="shared" si="1"/>
        <v/>
      </c>
      <c r="L7" s="96" t="str">
        <f t="shared" si="1"/>
        <v/>
      </c>
      <c r="M7" s="96" t="str">
        <f t="shared" si="1"/>
        <v/>
      </c>
      <c r="N7" s="90"/>
    </row>
    <row r="8" spans="1:14" ht="15.75" customHeight="1" x14ac:dyDescent="0.4">
      <c r="A8" s="4"/>
      <c r="B8" s="101" t="s">
        <v>109</v>
      </c>
      <c r="C8" s="88">
        <f>3020+1059</f>
        <v>4079</v>
      </c>
      <c r="D8" s="88">
        <f>2560+637</f>
        <v>3197</v>
      </c>
      <c r="E8" s="170"/>
      <c r="F8" s="170"/>
      <c r="G8" s="170"/>
      <c r="H8" s="170"/>
      <c r="I8" s="170"/>
      <c r="J8" s="170"/>
      <c r="K8" s="170"/>
      <c r="L8" s="170"/>
      <c r="M8" s="170"/>
      <c r="N8" s="90"/>
    </row>
    <row r="9" spans="1:14" ht="15.75" customHeight="1" x14ac:dyDescent="0.4">
      <c r="A9" s="4"/>
      <c r="B9" s="102" t="s">
        <v>105</v>
      </c>
      <c r="C9" s="171">
        <f t="shared" ref="C9:M9" si="2">IF(C6="","",(C6-C8))</f>
        <v>138494</v>
      </c>
      <c r="D9" s="171">
        <f t="shared" si="2"/>
        <v>74627</v>
      </c>
      <c r="E9" s="171" t="str">
        <f t="shared" si="2"/>
        <v/>
      </c>
      <c r="F9" s="171" t="str">
        <f t="shared" si="2"/>
        <v/>
      </c>
      <c r="G9" s="171" t="str">
        <f t="shared" si="2"/>
        <v/>
      </c>
      <c r="H9" s="171" t="str">
        <f t="shared" si="2"/>
        <v/>
      </c>
      <c r="I9" s="171" t="str">
        <f t="shared" si="2"/>
        <v/>
      </c>
      <c r="J9" s="171" t="str">
        <f t="shared" si="2"/>
        <v/>
      </c>
      <c r="K9" s="171" t="str">
        <f t="shared" si="2"/>
        <v/>
      </c>
      <c r="L9" s="171" t="str">
        <f t="shared" si="2"/>
        <v/>
      </c>
      <c r="M9" s="171" t="str">
        <f t="shared" si="2"/>
        <v/>
      </c>
      <c r="N9" s="90"/>
    </row>
    <row r="10" spans="1:14" ht="15.75" customHeight="1" x14ac:dyDescent="0.4">
      <c r="A10" s="4"/>
      <c r="B10" s="101" t="s">
        <v>107</v>
      </c>
      <c r="C10" s="88">
        <v>16607</v>
      </c>
      <c r="D10" s="88">
        <v>16950</v>
      </c>
      <c r="E10" s="170"/>
      <c r="F10" s="170"/>
      <c r="G10" s="170"/>
      <c r="H10" s="170"/>
      <c r="I10" s="170"/>
      <c r="J10" s="170"/>
      <c r="K10" s="170"/>
      <c r="L10" s="170"/>
      <c r="M10" s="170"/>
      <c r="N10" s="90"/>
    </row>
    <row r="11" spans="1:14" ht="15.75" customHeight="1" x14ac:dyDescent="0.4">
      <c r="A11" s="4"/>
      <c r="B11" s="98" t="s">
        <v>100</v>
      </c>
      <c r="C11" s="172">
        <f t="shared" ref="C11:M11" si="3">IF(C6="","",(C12/C6))</f>
        <v>0</v>
      </c>
      <c r="D11" s="172">
        <f t="shared" si="3"/>
        <v>0</v>
      </c>
      <c r="E11" s="172" t="str">
        <f t="shared" si="3"/>
        <v/>
      </c>
      <c r="F11" s="172" t="str">
        <f t="shared" si="3"/>
        <v/>
      </c>
      <c r="G11" s="172" t="str">
        <f t="shared" si="3"/>
        <v/>
      </c>
      <c r="H11" s="172" t="str">
        <f t="shared" si="3"/>
        <v/>
      </c>
      <c r="I11" s="172" t="str">
        <f t="shared" si="3"/>
        <v/>
      </c>
      <c r="J11" s="172" t="str">
        <f t="shared" si="3"/>
        <v/>
      </c>
      <c r="K11" s="172" t="str">
        <f t="shared" si="3"/>
        <v/>
      </c>
      <c r="L11" s="172" t="str">
        <f t="shared" si="3"/>
        <v/>
      </c>
      <c r="M11" s="172" t="str">
        <f t="shared" si="3"/>
        <v/>
      </c>
      <c r="N11" s="90"/>
    </row>
    <row r="12" spans="1:14" ht="15.75" customHeight="1" x14ac:dyDescent="0.4">
      <c r="A12" s="4"/>
      <c r="B12" s="101" t="s">
        <v>108</v>
      </c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90"/>
    </row>
    <row r="13" spans="1:14" ht="15.75" customHeight="1" x14ac:dyDescent="0.4">
      <c r="A13" s="4"/>
      <c r="B13" s="102" t="s">
        <v>106</v>
      </c>
      <c r="C13" s="171">
        <f>IF(C6="","",(C9-C10+C12))</f>
        <v>121887</v>
      </c>
      <c r="D13" s="171">
        <f t="shared" ref="D13:M13" si="4">IF(D6="","",(D9-D10+D12))</f>
        <v>57677</v>
      </c>
      <c r="E13" s="171" t="str">
        <f t="shared" si="4"/>
        <v/>
      </c>
      <c r="F13" s="171" t="str">
        <f t="shared" si="4"/>
        <v/>
      </c>
      <c r="G13" s="171" t="str">
        <f t="shared" si="4"/>
        <v/>
      </c>
      <c r="H13" s="171" t="str">
        <f t="shared" si="4"/>
        <v/>
      </c>
      <c r="I13" s="171" t="str">
        <f t="shared" si="4"/>
        <v/>
      </c>
      <c r="J13" s="171" t="str">
        <f t="shared" si="4"/>
        <v/>
      </c>
      <c r="K13" s="171" t="str">
        <f t="shared" si="4"/>
        <v/>
      </c>
      <c r="L13" s="171" t="str">
        <f t="shared" si="4"/>
        <v/>
      </c>
      <c r="M13" s="171" t="str">
        <f t="shared" si="4"/>
        <v/>
      </c>
      <c r="N13" s="90"/>
    </row>
    <row r="14" spans="1:14" ht="15.75" customHeight="1" x14ac:dyDescent="0.4">
      <c r="A14" s="4"/>
      <c r="B14" s="101" t="s">
        <v>110</v>
      </c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90"/>
    </row>
    <row r="15" spans="1:14" ht="15.75" customHeight="1" x14ac:dyDescent="0.4">
      <c r="A15" s="4"/>
      <c r="B15" s="101" t="s">
        <v>111</v>
      </c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90"/>
    </row>
    <row r="16" spans="1:14" ht="15.75" customHeight="1" x14ac:dyDescent="0.4">
      <c r="A16" s="4"/>
      <c r="B16" s="101" t="s">
        <v>113</v>
      </c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90"/>
    </row>
    <row r="17" spans="1:14" ht="15.75" customHeight="1" x14ac:dyDescent="0.4">
      <c r="A17" s="4"/>
      <c r="B17" s="101" t="s">
        <v>129</v>
      </c>
      <c r="C17" s="88">
        <v>77411</v>
      </c>
      <c r="D17" s="88">
        <v>25020</v>
      </c>
      <c r="E17" s="170"/>
      <c r="F17" s="170"/>
      <c r="G17" s="170"/>
      <c r="H17" s="170"/>
      <c r="I17" s="170"/>
      <c r="J17" s="170"/>
      <c r="K17" s="170"/>
      <c r="L17" s="170"/>
      <c r="M17" s="170"/>
      <c r="N17" s="90"/>
    </row>
    <row r="18" spans="1:14" ht="15.75" customHeight="1" x14ac:dyDescent="0.4">
      <c r="A18" s="4"/>
      <c r="B18" s="103" t="s">
        <v>114</v>
      </c>
      <c r="C18" s="88">
        <f>1392+742</f>
        <v>2134</v>
      </c>
      <c r="D18" s="88">
        <f>1390-100</f>
        <v>1290</v>
      </c>
      <c r="E18" s="170"/>
      <c r="F18" s="170"/>
      <c r="G18" s="170"/>
      <c r="H18" s="170"/>
      <c r="I18" s="170"/>
      <c r="J18" s="170"/>
      <c r="K18" s="170"/>
      <c r="L18" s="170"/>
      <c r="M18" s="170"/>
      <c r="N18" s="90"/>
    </row>
    <row r="19" spans="1:14" ht="15.75" customHeight="1" x14ac:dyDescent="0.4">
      <c r="A19" s="4"/>
      <c r="B19" s="103" t="s">
        <v>225</v>
      </c>
      <c r="C19" s="80">
        <f>IF(C6="","",C9-C10-C17-MAX(C18/(1-Fin_Analysis!$F$84),0))</f>
        <v>41630.666666666664</v>
      </c>
      <c r="D19" s="80">
        <f>IF(D6="","",D9-D10-D17-MAX(D18/(1-Fin_Analysis!$F$84),0))</f>
        <v>30937</v>
      </c>
      <c r="E19" s="80" t="str">
        <f>IF(E6="","",E9-E10-E17-MAX(E18/(1-Fin_Analysis!$F$84),0))</f>
        <v/>
      </c>
      <c r="F19" s="80" t="str">
        <f>IF(F6="","",F9-F10-F17-MAX(F18/(1-Fin_Analysis!$F$84),0))</f>
        <v/>
      </c>
      <c r="G19" s="80" t="str">
        <f>IF(G6="","",G9-G10-G17-MAX(G18/(1-Fin_Analysis!$F$84),0))</f>
        <v/>
      </c>
      <c r="H19" s="80" t="str">
        <f>IF(H6="","",H9-H10-H17-MAX(H18/(1-Fin_Analysis!$F$84),0))</f>
        <v/>
      </c>
      <c r="I19" s="80" t="str">
        <f>IF(I6="","",I9-I10-I17-MAX(I18/(1-Fin_Analysis!$F$84),0))</f>
        <v/>
      </c>
      <c r="J19" s="80" t="str">
        <f>IF(J6="","",J9-J10-J17-MAX(J18/(1-Fin_Analysis!$F$84),0))</f>
        <v/>
      </c>
      <c r="K19" s="80" t="str">
        <f>IF(K6="","",K9-K10-K17-MAX(K18/(1-Fin_Analysis!$F$84),0))</f>
        <v/>
      </c>
      <c r="L19" s="80" t="str">
        <f>IF(L6="","",L9-L10-L17-MAX(L18/(1-Fin_Analysis!$F$84),0))</f>
        <v/>
      </c>
      <c r="M19" s="80" t="str">
        <f>IF(M6="","",M9-M10-M17-MAX(M18/(1-Fin_Analysis!$F$84),0))</f>
        <v/>
      </c>
      <c r="N19" s="90"/>
    </row>
    <row r="20" spans="1:14" ht="15.75" customHeight="1" x14ac:dyDescent="0.4">
      <c r="A20" s="4"/>
      <c r="B20" s="103" t="s">
        <v>226</v>
      </c>
      <c r="C20" s="173">
        <f>IF(D19="","",IF(ABS(C19+D19)=ABS(C19)+ABS(D19),IF(C19&lt;0,-1,1)*(C19-D19)/D19,"Turn"))</f>
        <v>0.34565945846936241</v>
      </c>
      <c r="D20" s="173" t="str">
        <f t="shared" ref="D20:M20" si="5">IF(E19="","",IF(ABS(D19+E19)=ABS(D19)+ABS(E19),IF(D19&lt;0,-1,1)*(D19-E19)/E19,"Turn"))</f>
        <v/>
      </c>
      <c r="E20" s="173" t="str">
        <f t="shared" si="5"/>
        <v/>
      </c>
      <c r="F20" s="173" t="str">
        <f t="shared" si="5"/>
        <v/>
      </c>
      <c r="G20" s="173" t="str">
        <f t="shared" si="5"/>
        <v/>
      </c>
      <c r="H20" s="173" t="str">
        <f t="shared" si="5"/>
        <v/>
      </c>
      <c r="I20" s="173" t="str">
        <f t="shared" si="5"/>
        <v/>
      </c>
      <c r="J20" s="173" t="str">
        <f t="shared" si="5"/>
        <v/>
      </c>
      <c r="K20" s="173" t="str">
        <f t="shared" si="5"/>
        <v/>
      </c>
      <c r="L20" s="173" t="str">
        <f t="shared" si="5"/>
        <v/>
      </c>
      <c r="M20" s="173" t="str">
        <f t="shared" si="5"/>
        <v/>
      </c>
      <c r="N20" s="90"/>
    </row>
    <row r="21" spans="1:14" ht="15.75" customHeight="1" x14ac:dyDescent="0.4">
      <c r="A21" s="4"/>
      <c r="B21" s="98" t="s">
        <v>115</v>
      </c>
      <c r="C21" s="80">
        <f>IF(C6="","",C13-C14-MAX(C15,0)-MAX(C16,0)-C17-MAX(C18/(1-Fin_Analysis!$F$84),0))</f>
        <v>41630.666666666664</v>
      </c>
      <c r="D21" s="80">
        <f>IF(D6="","",D13-D14-MAX(D15,0)-MAX(D16,0)-D17-MAX(D18/(1-Fin_Analysis!$F$84),0))</f>
        <v>30937</v>
      </c>
      <c r="E21" s="80" t="str">
        <f>IF(E6="","",E13-E14-MAX(E15,0)-MAX(E16,0)-E17-MAX(E18/(1-Fin_Analysis!$F$84),0))</f>
        <v/>
      </c>
      <c r="F21" s="80" t="str">
        <f>IF(F6="","",F13-F14-MAX(F15,0)-MAX(F16,0)-F17-MAX(F18/(1-Fin_Analysis!$F$84),0))</f>
        <v/>
      </c>
      <c r="G21" s="80" t="str">
        <f>IF(G6="","",G13-G14-MAX(G15,0)-MAX(G16,0)-G17-MAX(G18/(1-Fin_Analysis!$F$84),0))</f>
        <v/>
      </c>
      <c r="H21" s="80" t="str">
        <f>IF(H6="","",H13-H14-MAX(H15,0)-MAX(H16,0)-H17-MAX(H18/(1-Fin_Analysis!$F$84),0))</f>
        <v/>
      </c>
      <c r="I21" s="80" t="str">
        <f>IF(I6="","",I13-I14-MAX(I15,0)-MAX(I16,0)-I17-MAX(I18/(1-Fin_Analysis!$F$84),0))</f>
        <v/>
      </c>
      <c r="J21" s="80" t="str">
        <f>IF(J6="","",J13-J14-MAX(J15,0)-MAX(J16,0)-J17-MAX(J18/(1-Fin_Analysis!$F$84),0))</f>
        <v/>
      </c>
      <c r="K21" s="80" t="str">
        <f>IF(K6="","",K13-K14-MAX(K15,0)-MAX(K16,0)-K17-MAX(K18/(1-Fin_Analysis!$F$84),0))</f>
        <v/>
      </c>
      <c r="L21" s="80" t="str">
        <f>IF(L6="","",L13-L14-MAX(L15,0)-MAX(L16,0)-L17-MAX(L18/(1-Fin_Analysis!$F$84),0))</f>
        <v/>
      </c>
      <c r="M21" s="80" t="str">
        <f>IF(M6="","",M13-M14-MAX(M15,0)-MAX(M16,0)-M17-MAX(M18/(1-Fin_Analysis!$F$84),0))</f>
        <v/>
      </c>
      <c r="N21" s="90"/>
    </row>
    <row r="22" spans="1:14" ht="15.75" customHeight="1" x14ac:dyDescent="0.4">
      <c r="A22" s="4"/>
      <c r="B22" s="102" t="s">
        <v>116</v>
      </c>
      <c r="C22" s="173">
        <f>IF(D21="","",IF(ABS(C21+D21)=ABS(C21)+ABS(D21),IF(C21&lt;0,-1,1)*(C21-D21)/D21,"Turn"))</f>
        <v>0.34565945846936241</v>
      </c>
      <c r="D22" s="173" t="str">
        <f t="shared" ref="D22:M22" si="6">IF(E21="","",IF(ABS(D21+E21)=ABS(D21)+ABS(E21),IF(D21&lt;0,-1,1)*(D21-E21)/E21,"Turn"))</f>
        <v/>
      </c>
      <c r="E22" s="173" t="str">
        <f t="shared" si="6"/>
        <v/>
      </c>
      <c r="F22" s="173" t="str">
        <f t="shared" si="6"/>
        <v/>
      </c>
      <c r="G22" s="173" t="str">
        <f t="shared" si="6"/>
        <v/>
      </c>
      <c r="H22" s="173" t="str">
        <f t="shared" si="6"/>
        <v/>
      </c>
      <c r="I22" s="173" t="str">
        <f t="shared" si="6"/>
        <v/>
      </c>
      <c r="J22" s="173" t="str">
        <f t="shared" si="6"/>
        <v/>
      </c>
      <c r="K22" s="173" t="str">
        <f t="shared" si="6"/>
        <v/>
      </c>
      <c r="L22" s="173" t="str">
        <f t="shared" si="6"/>
        <v/>
      </c>
      <c r="M22" s="173" t="str">
        <f t="shared" si="6"/>
        <v/>
      </c>
      <c r="N22" s="90"/>
    </row>
    <row r="23" spans="1:14" ht="15.75" customHeight="1" x14ac:dyDescent="0.4">
      <c r="A23" s="4"/>
      <c r="B23" s="104" t="s">
        <v>117</v>
      </c>
      <c r="C23" s="174">
        <f t="shared" ref="C23:M23" si="7">IF(C6="","",C24/C6)</f>
        <v>0.21899658420598569</v>
      </c>
      <c r="D23" s="174">
        <f t="shared" si="7"/>
        <v>0.29814388877467107</v>
      </c>
      <c r="E23" s="174" t="str">
        <f t="shared" si="7"/>
        <v/>
      </c>
      <c r="F23" s="174" t="str">
        <f t="shared" si="7"/>
        <v/>
      </c>
      <c r="G23" s="174" t="str">
        <f t="shared" si="7"/>
        <v/>
      </c>
      <c r="H23" s="174" t="str">
        <f t="shared" si="7"/>
        <v/>
      </c>
      <c r="I23" s="174" t="str">
        <f t="shared" si="7"/>
        <v/>
      </c>
      <c r="J23" s="174" t="str">
        <f t="shared" si="7"/>
        <v/>
      </c>
      <c r="K23" s="174" t="str">
        <f t="shared" si="7"/>
        <v/>
      </c>
      <c r="L23" s="174" t="str">
        <f t="shared" si="7"/>
        <v/>
      </c>
      <c r="M23" s="174" t="str">
        <f t="shared" si="7"/>
        <v/>
      </c>
      <c r="N23" s="90"/>
    </row>
    <row r="24" spans="1:14" ht="15.75" customHeight="1" x14ac:dyDescent="0.4">
      <c r="A24" s="4"/>
      <c r="B24" s="106" t="s">
        <v>118</v>
      </c>
      <c r="C24" s="175">
        <f>IF(C6="","",C21*(1-Fin_Analysis!$F$84))</f>
        <v>31223</v>
      </c>
      <c r="D24" s="80">
        <f>IF(D6="","",D21*(1-Fin_Analysis!$F$84))</f>
        <v>23202.75</v>
      </c>
      <c r="E24" s="80" t="str">
        <f>IF(E6="","",E21*(1-Fin_Analysis!$F$84))</f>
        <v/>
      </c>
      <c r="F24" s="80" t="str">
        <f>IF(F6="","",F21*(1-Fin_Analysis!$F$84))</f>
        <v/>
      </c>
      <c r="G24" s="80" t="str">
        <f>IF(G6="","",G21*(1-Fin_Analysis!$F$84))</f>
        <v/>
      </c>
      <c r="H24" s="80" t="str">
        <f>IF(H6="","",H21*(1-Fin_Analysis!$F$84))</f>
        <v/>
      </c>
      <c r="I24" s="80" t="str">
        <f>IF(I6="","",I21*(1-Fin_Analysis!$F$84))</f>
        <v/>
      </c>
      <c r="J24" s="80" t="str">
        <f>IF(J6="","",J21*(1-Fin_Analysis!$F$84))</f>
        <v/>
      </c>
      <c r="K24" s="80" t="str">
        <f>IF(K6="","",K21*(1-Fin_Analysis!$F$84))</f>
        <v/>
      </c>
      <c r="L24" s="80" t="str">
        <f>IF(L6="","",L21*(1-Fin_Analysis!$F$84))</f>
        <v/>
      </c>
      <c r="M24" s="80" t="str">
        <f>IF(M6="","",M21*(1-Fin_Analysis!$F$84))</f>
        <v/>
      </c>
      <c r="N24" s="90"/>
    </row>
    <row r="25" spans="1:14" ht="15.75" customHeight="1" thickBot="1" x14ac:dyDescent="0.45">
      <c r="A25" s="4"/>
      <c r="B25" s="105" t="s">
        <v>138</v>
      </c>
      <c r="C25" s="176">
        <f>IF(D24="","",IF(ABS(C24+D24)=ABS(C24)+ABS(D24),IF(C24&lt;0,-1,1)*(C24-D24)/D24,"Turn"))</f>
        <v>0.34565945846936247</v>
      </c>
      <c r="D25" s="176" t="str">
        <f t="shared" ref="D25:M25" si="8">IF(E24="","",IF(ABS(D24+E24)=ABS(D24)+ABS(E24),IF(D24&lt;0,-1,1)*(D24-E24)/E24,"Turn"))</f>
        <v/>
      </c>
      <c r="E25" s="176" t="str">
        <f t="shared" si="8"/>
        <v/>
      </c>
      <c r="F25" s="176" t="str">
        <f t="shared" si="8"/>
        <v/>
      </c>
      <c r="G25" s="176" t="str">
        <f t="shared" si="8"/>
        <v/>
      </c>
      <c r="H25" s="176" t="str">
        <f t="shared" si="8"/>
        <v/>
      </c>
      <c r="I25" s="176" t="str">
        <f t="shared" si="8"/>
        <v/>
      </c>
      <c r="J25" s="176" t="str">
        <f t="shared" si="8"/>
        <v/>
      </c>
      <c r="K25" s="176" t="str">
        <f t="shared" si="8"/>
        <v/>
      </c>
      <c r="L25" s="176" t="str">
        <f t="shared" si="8"/>
        <v/>
      </c>
      <c r="M25" s="176" t="str">
        <f t="shared" si="8"/>
        <v/>
      </c>
      <c r="N25" s="90"/>
    </row>
    <row r="26" spans="1:14" ht="15.75" customHeight="1" thickTop="1" x14ac:dyDescent="0.4">
      <c r="A26" s="16"/>
      <c r="B26" s="122" t="s">
        <v>147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90"/>
    </row>
    <row r="27" spans="1:14" ht="15.75" customHeight="1" x14ac:dyDescent="0.4">
      <c r="A27" s="4"/>
      <c r="B27" s="98" t="s">
        <v>14</v>
      </c>
      <c r="C27" s="66">
        <f t="shared" ref="C27:M27" si="18">IF(C6="","",C36+C31+C32)</f>
        <v>3998248</v>
      </c>
      <c r="D27" s="66">
        <f t="shared" si="18"/>
        <v>0</v>
      </c>
      <c r="E27" s="66" t="str">
        <f t="shared" si="18"/>
        <v/>
      </c>
      <c r="F27" s="66" t="str">
        <f t="shared" si="18"/>
        <v/>
      </c>
      <c r="G27" s="66" t="str">
        <f t="shared" si="18"/>
        <v/>
      </c>
      <c r="H27" s="66" t="str">
        <f t="shared" si="18"/>
        <v/>
      </c>
      <c r="I27" s="66" t="str">
        <f t="shared" si="18"/>
        <v/>
      </c>
      <c r="J27" s="66" t="str">
        <f t="shared" si="18"/>
        <v/>
      </c>
      <c r="K27" s="66" t="str">
        <f t="shared" si="18"/>
        <v/>
      </c>
      <c r="L27" s="66" t="str">
        <f t="shared" si="18"/>
        <v/>
      </c>
      <c r="M27" s="66" t="str">
        <f t="shared" si="18"/>
        <v/>
      </c>
      <c r="N27" s="90"/>
    </row>
    <row r="28" spans="1:14" ht="15.75" customHeight="1" x14ac:dyDescent="0.4">
      <c r="A28" s="4"/>
      <c r="B28" s="98" t="s">
        <v>15</v>
      </c>
      <c r="C28" s="66">
        <f>Fin_Analysis!C28</f>
        <v>3621402</v>
      </c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90"/>
    </row>
    <row r="29" spans="1:14" ht="15.75" customHeight="1" x14ac:dyDescent="0.4">
      <c r="A29" s="4"/>
      <c r="B29" s="98" t="s">
        <v>121</v>
      </c>
      <c r="C29" s="66">
        <f>Fin_Analysis!C13</f>
        <v>0</v>
      </c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90"/>
    </row>
    <row r="30" spans="1:14" ht="15.75" customHeight="1" x14ac:dyDescent="0.4">
      <c r="A30" s="4"/>
      <c r="B30" s="98" t="s">
        <v>161</v>
      </c>
      <c r="C30" s="66">
        <f>Fin_Analysis!C18</f>
        <v>0</v>
      </c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90"/>
    </row>
    <row r="31" spans="1:14" ht="15.75" customHeight="1" x14ac:dyDescent="0.4">
      <c r="A31" s="4"/>
      <c r="B31" s="98" t="s">
        <v>16</v>
      </c>
      <c r="C31" s="66">
        <f>Fin_Analysis!I28</f>
        <v>3668314</v>
      </c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90"/>
    </row>
    <row r="32" spans="1:14" ht="15.75" customHeight="1" x14ac:dyDescent="0.4">
      <c r="A32" s="4"/>
      <c r="B32" s="98" t="s">
        <v>120</v>
      </c>
      <c r="C32" s="66">
        <f>Fin_Analysis!I48</f>
        <v>0</v>
      </c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90"/>
    </row>
    <row r="33" spans="1:14" ht="15.5" customHeight="1" x14ac:dyDescent="0.4">
      <c r="A33" s="4"/>
      <c r="B33" s="98" t="s">
        <v>17</v>
      </c>
      <c r="C33" s="66">
        <f>Fin_Analysis!I15</f>
        <v>3075698</v>
      </c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90"/>
    </row>
    <row r="34" spans="1:14" ht="15.75" customHeight="1" x14ac:dyDescent="0.4">
      <c r="A34" s="4"/>
      <c r="B34" s="98" t="s">
        <v>18</v>
      </c>
      <c r="C34" s="66">
        <f>Fin_Analysis!I34</f>
        <v>0</v>
      </c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90"/>
    </row>
    <row r="35" spans="1:14" ht="15.75" customHeight="1" x14ac:dyDescent="0.4">
      <c r="A35" s="4"/>
      <c r="B35" s="98" t="s">
        <v>19</v>
      </c>
      <c r="C35" s="80">
        <f t="shared" ref="C35:M35" si="19">IF(C6="","",C33+C34)</f>
        <v>3075698</v>
      </c>
      <c r="D35" s="80">
        <f t="shared" si="19"/>
        <v>0</v>
      </c>
      <c r="E35" s="80" t="str">
        <f t="shared" si="19"/>
        <v/>
      </c>
      <c r="F35" s="80" t="str">
        <f t="shared" si="19"/>
        <v/>
      </c>
      <c r="G35" s="80" t="str">
        <f t="shared" si="19"/>
        <v/>
      </c>
      <c r="H35" s="80" t="str">
        <f t="shared" si="19"/>
        <v/>
      </c>
      <c r="I35" s="80" t="str">
        <f t="shared" si="19"/>
        <v/>
      </c>
      <c r="J35" s="80" t="str">
        <f t="shared" si="19"/>
        <v/>
      </c>
      <c r="K35" s="80" t="str">
        <f t="shared" si="19"/>
        <v/>
      </c>
      <c r="L35" s="80" t="str">
        <f t="shared" si="19"/>
        <v/>
      </c>
      <c r="M35" s="80" t="str">
        <f t="shared" si="19"/>
        <v/>
      </c>
      <c r="N35" s="90"/>
    </row>
    <row r="36" spans="1:14" ht="15.75" customHeight="1" x14ac:dyDescent="0.4">
      <c r="A36" s="4"/>
      <c r="B36" s="98" t="s">
        <v>150</v>
      </c>
      <c r="C36" s="66">
        <f>Fin_Analysis!D3</f>
        <v>329934</v>
      </c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90"/>
    </row>
    <row r="37" spans="1:14" ht="15.75" customHeight="1" x14ac:dyDescent="0.4">
      <c r="A37" s="4"/>
      <c r="B37" s="98" t="s">
        <v>151</v>
      </c>
      <c r="C37" s="66">
        <f>Fin_Analysis!D4</f>
        <v>3361</v>
      </c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90"/>
    </row>
    <row r="38" spans="1:14" ht="15.75" customHeight="1" x14ac:dyDescent="0.4">
      <c r="A38" s="4"/>
      <c r="B38" s="98" t="s">
        <v>149</v>
      </c>
      <c r="C38" s="66">
        <f>Fin_Analysis!C63</f>
        <v>2099661</v>
      </c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90"/>
    </row>
    <row r="39" spans="1:14" ht="15.75" customHeight="1" x14ac:dyDescent="0.4">
      <c r="A39" s="4"/>
      <c r="B39" s="98" t="s">
        <v>153</v>
      </c>
      <c r="C39" s="66">
        <f>Fin_Analysis!C68</f>
        <v>1898587</v>
      </c>
      <c r="D39" s="66">
        <f t="shared" ref="D39:M39" si="20">IF(D6="","",D27-D38)</f>
        <v>0</v>
      </c>
      <c r="E39" s="66" t="str">
        <f t="shared" si="20"/>
        <v/>
      </c>
      <c r="F39" s="66" t="str">
        <f t="shared" si="20"/>
        <v/>
      </c>
      <c r="G39" s="66" t="str">
        <f t="shared" si="20"/>
        <v/>
      </c>
      <c r="H39" s="66" t="str">
        <f t="shared" si="20"/>
        <v/>
      </c>
      <c r="I39" s="66" t="str">
        <f t="shared" si="20"/>
        <v/>
      </c>
      <c r="J39" s="66" t="str">
        <f t="shared" si="20"/>
        <v/>
      </c>
      <c r="K39" s="66" t="str">
        <f t="shared" si="20"/>
        <v/>
      </c>
      <c r="L39" s="66" t="str">
        <f t="shared" si="20"/>
        <v/>
      </c>
      <c r="M39" s="66" t="str">
        <f t="shared" si="20"/>
        <v/>
      </c>
      <c r="N39" s="90"/>
    </row>
    <row r="40" spans="1:14" ht="15.75" customHeight="1" x14ac:dyDescent="0.4">
      <c r="A40" s="4"/>
      <c r="B40" s="102" t="s">
        <v>171</v>
      </c>
      <c r="C40" s="177">
        <f t="shared" ref="C40:M40" si="21">IF(C6="","",C21/C39)</f>
        <v>2.1927184093574151E-2</v>
      </c>
      <c r="D40" s="177" t="e">
        <f t="shared" si="21"/>
        <v>#DIV/0!</v>
      </c>
      <c r="E40" s="177" t="str">
        <f t="shared" si="21"/>
        <v/>
      </c>
      <c r="F40" s="177" t="str">
        <f t="shared" si="21"/>
        <v/>
      </c>
      <c r="G40" s="177" t="str">
        <f t="shared" si="21"/>
        <v/>
      </c>
      <c r="H40" s="177" t="str">
        <f t="shared" si="21"/>
        <v/>
      </c>
      <c r="I40" s="177" t="str">
        <f t="shared" si="21"/>
        <v/>
      </c>
      <c r="J40" s="177" t="str">
        <f t="shared" si="21"/>
        <v/>
      </c>
      <c r="K40" s="177" t="str">
        <f t="shared" si="21"/>
        <v/>
      </c>
      <c r="L40" s="177" t="str">
        <f t="shared" si="21"/>
        <v/>
      </c>
      <c r="M40" s="177" t="str">
        <f t="shared" si="21"/>
        <v/>
      </c>
      <c r="N40" s="90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90"/>
    </row>
    <row r="42" spans="1:14" ht="15.75" customHeight="1" x14ac:dyDescent="0.4">
      <c r="A42" s="4"/>
      <c r="B42" s="99" t="s">
        <v>99</v>
      </c>
      <c r="C42" s="178">
        <f t="shared" ref="C42:M42" si="22">IF(C6="","",C8/C6)</f>
        <v>2.8609905101246377E-2</v>
      </c>
      <c r="D42" s="178">
        <f t="shared" si="22"/>
        <v>4.1079872532894739E-2</v>
      </c>
      <c r="E42" s="178" t="str">
        <f t="shared" si="22"/>
        <v/>
      </c>
      <c r="F42" s="178" t="str">
        <f t="shared" si="22"/>
        <v/>
      </c>
      <c r="G42" s="178" t="str">
        <f t="shared" si="22"/>
        <v/>
      </c>
      <c r="H42" s="178" t="str">
        <f t="shared" si="22"/>
        <v/>
      </c>
      <c r="I42" s="178" t="str">
        <f t="shared" si="22"/>
        <v/>
      </c>
      <c r="J42" s="178" t="str">
        <f t="shared" si="22"/>
        <v/>
      </c>
      <c r="K42" s="178" t="str">
        <f t="shared" si="22"/>
        <v/>
      </c>
      <c r="L42" s="178" t="str">
        <f t="shared" si="22"/>
        <v/>
      </c>
      <c r="M42" s="178" t="str">
        <f t="shared" si="22"/>
        <v/>
      </c>
      <c r="N42" s="90"/>
    </row>
    <row r="43" spans="1:14" ht="15.75" customHeight="1" x14ac:dyDescent="0.4">
      <c r="A43" s="4"/>
      <c r="B43" s="98" t="s">
        <v>126</v>
      </c>
      <c r="C43" s="174">
        <f t="shared" ref="C43:M43" si="23">IF(C6="","",(C10-C12)/C6)</f>
        <v>0.11648068007266453</v>
      </c>
      <c r="D43" s="174">
        <f t="shared" si="23"/>
        <v>0.21779913651315788</v>
      </c>
      <c r="E43" s="174" t="str">
        <f t="shared" si="23"/>
        <v/>
      </c>
      <c r="F43" s="174" t="str">
        <f t="shared" si="23"/>
        <v/>
      </c>
      <c r="G43" s="174" t="str">
        <f t="shared" si="23"/>
        <v/>
      </c>
      <c r="H43" s="174" t="str">
        <f t="shared" si="23"/>
        <v/>
      </c>
      <c r="I43" s="174" t="str">
        <f t="shared" si="23"/>
        <v/>
      </c>
      <c r="J43" s="174" t="str">
        <f t="shared" si="23"/>
        <v/>
      </c>
      <c r="K43" s="174" t="str">
        <f t="shared" si="23"/>
        <v/>
      </c>
      <c r="L43" s="174" t="str">
        <f t="shared" si="23"/>
        <v/>
      </c>
      <c r="M43" s="174" t="str">
        <f t="shared" si="23"/>
        <v/>
      </c>
      <c r="N43" s="90"/>
    </row>
    <row r="44" spans="1:14" ht="15.75" customHeight="1" x14ac:dyDescent="0.4">
      <c r="A44" s="4"/>
      <c r="B44" s="98" t="s">
        <v>101</v>
      </c>
      <c r="C44" s="174">
        <f t="shared" ref="C44:M44" si="24">IF(C6="","",(C14+MAX(C15,0))/C6)</f>
        <v>0</v>
      </c>
      <c r="D44" s="174">
        <f t="shared" si="24"/>
        <v>0</v>
      </c>
      <c r="E44" s="174" t="str">
        <f t="shared" si="24"/>
        <v/>
      </c>
      <c r="F44" s="174" t="str">
        <f t="shared" si="24"/>
        <v/>
      </c>
      <c r="G44" s="174" t="str">
        <f t="shared" si="24"/>
        <v/>
      </c>
      <c r="H44" s="174" t="str">
        <f t="shared" si="24"/>
        <v/>
      </c>
      <c r="I44" s="174" t="str">
        <f t="shared" si="24"/>
        <v/>
      </c>
      <c r="J44" s="174" t="str">
        <f t="shared" si="24"/>
        <v/>
      </c>
      <c r="K44" s="174" t="str">
        <f t="shared" si="24"/>
        <v/>
      </c>
      <c r="L44" s="174" t="str">
        <f t="shared" si="24"/>
        <v/>
      </c>
      <c r="M44" s="174" t="str">
        <f t="shared" si="24"/>
        <v/>
      </c>
      <c r="N44" s="90"/>
    </row>
    <row r="45" spans="1:14" ht="15.75" customHeight="1" x14ac:dyDescent="0.4">
      <c r="A45" s="4"/>
      <c r="B45" s="98" t="s">
        <v>112</v>
      </c>
      <c r="C45" s="174">
        <f t="shared" ref="C45:M45" si="25">IF(C6="","",MAX(C16,0)/C6)</f>
        <v>0</v>
      </c>
      <c r="D45" s="174">
        <f t="shared" si="25"/>
        <v>0</v>
      </c>
      <c r="E45" s="174" t="str">
        <f t="shared" si="25"/>
        <v/>
      </c>
      <c r="F45" s="174" t="str">
        <f t="shared" si="25"/>
        <v/>
      </c>
      <c r="G45" s="174" t="str">
        <f t="shared" si="25"/>
        <v/>
      </c>
      <c r="H45" s="174" t="str">
        <f t="shared" si="25"/>
        <v/>
      </c>
      <c r="I45" s="174" t="str">
        <f t="shared" si="25"/>
        <v/>
      </c>
      <c r="J45" s="174" t="str">
        <f t="shared" si="25"/>
        <v/>
      </c>
      <c r="K45" s="174" t="str">
        <f t="shared" si="25"/>
        <v/>
      </c>
      <c r="L45" s="174" t="str">
        <f t="shared" si="25"/>
        <v/>
      </c>
      <c r="M45" s="174" t="str">
        <f t="shared" si="25"/>
        <v/>
      </c>
      <c r="N45" s="90"/>
    </row>
    <row r="46" spans="1:14" ht="15.75" customHeight="1" x14ac:dyDescent="0.4">
      <c r="A46" s="4"/>
      <c r="B46" s="98" t="s">
        <v>127</v>
      </c>
      <c r="C46" s="174">
        <f t="shared" ref="C46:M46" si="26">IF(C6="","",C17/C6)</f>
        <v>0.54295694135635775</v>
      </c>
      <c r="D46" s="174">
        <f t="shared" si="26"/>
        <v>0.32149465460526316</v>
      </c>
      <c r="E46" s="174" t="str">
        <f t="shared" si="26"/>
        <v/>
      </c>
      <c r="F46" s="174" t="str">
        <f t="shared" si="26"/>
        <v/>
      </c>
      <c r="G46" s="174" t="str">
        <f t="shared" si="26"/>
        <v/>
      </c>
      <c r="H46" s="174" t="str">
        <f t="shared" si="26"/>
        <v/>
      </c>
      <c r="I46" s="174" t="str">
        <f t="shared" si="26"/>
        <v/>
      </c>
      <c r="J46" s="174" t="str">
        <f t="shared" si="26"/>
        <v/>
      </c>
      <c r="K46" s="174" t="str">
        <f t="shared" si="26"/>
        <v/>
      </c>
      <c r="L46" s="174" t="str">
        <f t="shared" si="26"/>
        <v/>
      </c>
      <c r="M46" s="174" t="str">
        <f t="shared" si="26"/>
        <v/>
      </c>
      <c r="N46" s="90"/>
    </row>
    <row r="47" spans="1:14" ht="15.75" customHeight="1" x14ac:dyDescent="0.4">
      <c r="A47" s="4"/>
      <c r="B47" s="98" t="s">
        <v>139</v>
      </c>
      <c r="C47" s="174">
        <f>IF(C6="","",MAX(C18,0)/(1-Fin_Analysis!$F$84)/C6)</f>
        <v>1.9957027861750357E-2</v>
      </c>
      <c r="D47" s="174">
        <f>IF(D6="","",MAX(D18,0)/(1-Fin_Analysis!$F$84)/D6)</f>
        <v>2.2101151315789474E-2</v>
      </c>
      <c r="E47" s="174" t="str">
        <f>IF(E6="","",MAX(E18,0)/(1-Fin_Analysis!$F$84)/E6)</f>
        <v/>
      </c>
      <c r="F47" s="174" t="str">
        <f>IF(F6="","",MAX(F18,0)/(1-Fin_Analysis!$F$84)/F6)</f>
        <v/>
      </c>
      <c r="G47" s="174" t="str">
        <f>IF(G6="","",MAX(G18,0)/(1-Fin_Analysis!$F$84)/G6)</f>
        <v/>
      </c>
      <c r="H47" s="174" t="str">
        <f>IF(H6="","",MAX(H18,0)/(1-Fin_Analysis!$F$84)/H6)</f>
        <v/>
      </c>
      <c r="I47" s="174" t="str">
        <f>IF(I6="","",MAX(I18,0)/(1-Fin_Analysis!$F$84)/I6)</f>
        <v/>
      </c>
      <c r="J47" s="174" t="str">
        <f>IF(J6="","",MAX(J18,0)/(1-Fin_Analysis!$F$84)/J6)</f>
        <v/>
      </c>
      <c r="K47" s="174" t="str">
        <f>IF(K6="","",MAX(K18,0)/(1-Fin_Analysis!$F$84)/K6)</f>
        <v/>
      </c>
      <c r="L47" s="174" t="str">
        <f>IF(L6="","",MAX(L18,0)/(1-Fin_Analysis!$F$84)/L6)</f>
        <v/>
      </c>
      <c r="M47" s="174" t="str">
        <f>IF(M6="","",MAX(M18,0)/(1-Fin_Analysis!$F$84)/M6)</f>
        <v/>
      </c>
      <c r="N47" s="90"/>
    </row>
    <row r="48" spans="1:14" ht="15.75" customHeight="1" x14ac:dyDescent="0.4">
      <c r="A48" s="4"/>
      <c r="B48" s="98" t="s">
        <v>130</v>
      </c>
      <c r="C48" s="174">
        <f t="shared" ref="C48:M48" si="27">IF(C6="","",C21/C6)</f>
        <v>0.29199544560798091</v>
      </c>
      <c r="D48" s="174">
        <f t="shared" si="27"/>
        <v>0.39752518503289475</v>
      </c>
      <c r="E48" s="174" t="str">
        <f t="shared" si="27"/>
        <v/>
      </c>
      <c r="F48" s="174" t="str">
        <f t="shared" si="27"/>
        <v/>
      </c>
      <c r="G48" s="174" t="str">
        <f t="shared" si="27"/>
        <v/>
      </c>
      <c r="H48" s="174" t="str">
        <f t="shared" si="27"/>
        <v/>
      </c>
      <c r="I48" s="174" t="str">
        <f t="shared" si="27"/>
        <v/>
      </c>
      <c r="J48" s="174" t="str">
        <f t="shared" si="27"/>
        <v/>
      </c>
      <c r="K48" s="174" t="str">
        <f t="shared" si="27"/>
        <v/>
      </c>
      <c r="L48" s="174" t="str">
        <f t="shared" si="27"/>
        <v/>
      </c>
      <c r="M48" s="174" t="str">
        <f t="shared" si="27"/>
        <v/>
      </c>
      <c r="N48" s="90"/>
    </row>
    <row r="49" spans="1:14" ht="15.75" customHeight="1" x14ac:dyDescent="0.4">
      <c r="A49" s="16"/>
      <c r="B49" s="107" t="s">
        <v>162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90"/>
    </row>
    <row r="50" spans="1:14" ht="15.75" customHeight="1" x14ac:dyDescent="0.4">
      <c r="A50" s="4"/>
      <c r="B50" s="99" t="s">
        <v>159</v>
      </c>
      <c r="C50" s="178">
        <f t="shared" ref="C50:M50" si="28">IF(C6="","",C29/C6)</f>
        <v>0</v>
      </c>
      <c r="D50" s="178">
        <f t="shared" si="28"/>
        <v>0</v>
      </c>
      <c r="E50" s="178" t="str">
        <f t="shared" si="28"/>
        <v/>
      </c>
      <c r="F50" s="178" t="str">
        <f t="shared" si="28"/>
        <v/>
      </c>
      <c r="G50" s="178" t="str">
        <f t="shared" si="28"/>
        <v/>
      </c>
      <c r="H50" s="178" t="str">
        <f t="shared" si="28"/>
        <v/>
      </c>
      <c r="I50" s="178" t="str">
        <f t="shared" si="28"/>
        <v/>
      </c>
      <c r="J50" s="178" t="str">
        <f t="shared" si="28"/>
        <v/>
      </c>
      <c r="K50" s="178" t="str">
        <f t="shared" si="28"/>
        <v/>
      </c>
      <c r="L50" s="178" t="str">
        <f t="shared" si="28"/>
        <v/>
      </c>
      <c r="M50" s="178" t="str">
        <f t="shared" si="28"/>
        <v/>
      </c>
      <c r="N50" s="90"/>
    </row>
    <row r="51" spans="1:14" ht="15.75" customHeight="1" x14ac:dyDescent="0.4">
      <c r="A51" s="4"/>
      <c r="B51" s="98" t="s">
        <v>160</v>
      </c>
      <c r="C51" s="174">
        <f t="shared" ref="C51:M51" si="29">IF(C6="","",C30/C6)</f>
        <v>0</v>
      </c>
      <c r="D51" s="174">
        <f t="shared" si="29"/>
        <v>0</v>
      </c>
      <c r="E51" s="174" t="str">
        <f t="shared" si="29"/>
        <v/>
      </c>
      <c r="F51" s="174" t="str">
        <f t="shared" si="29"/>
        <v/>
      </c>
      <c r="G51" s="174" t="str">
        <f t="shared" si="29"/>
        <v/>
      </c>
      <c r="H51" s="174" t="str">
        <f t="shared" si="29"/>
        <v/>
      </c>
      <c r="I51" s="174" t="str">
        <f t="shared" si="29"/>
        <v/>
      </c>
      <c r="J51" s="174" t="str">
        <f t="shared" si="29"/>
        <v/>
      </c>
      <c r="K51" s="174" t="str">
        <f t="shared" si="29"/>
        <v/>
      </c>
      <c r="L51" s="174" t="str">
        <f t="shared" si="29"/>
        <v/>
      </c>
      <c r="M51" s="174" t="str">
        <f t="shared" si="29"/>
        <v/>
      </c>
      <c r="N51" s="90"/>
    </row>
    <row r="52" spans="1:14" ht="15.75" customHeight="1" x14ac:dyDescent="0.4">
      <c r="A52" s="16"/>
      <c r="B52" s="107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9" t="s">
        <v>20</v>
      </c>
      <c r="C53" s="178">
        <f>IF(C36="","",(C27-C36)/C27)</f>
        <v>0.91748035639610148</v>
      </c>
      <c r="D53" s="178" t="str">
        <f t="shared" ref="D53:M53" si="30">IF(D36="","",(D27-D36)/D27)</f>
        <v/>
      </c>
      <c r="E53" s="178" t="str">
        <f t="shared" si="30"/>
        <v/>
      </c>
      <c r="F53" s="178" t="str">
        <f t="shared" si="30"/>
        <v/>
      </c>
      <c r="G53" s="178" t="str">
        <f t="shared" si="30"/>
        <v/>
      </c>
      <c r="H53" s="178" t="str">
        <f t="shared" si="30"/>
        <v/>
      </c>
      <c r="I53" s="178" t="str">
        <f t="shared" si="30"/>
        <v/>
      </c>
      <c r="J53" s="178" t="str">
        <f t="shared" si="30"/>
        <v/>
      </c>
      <c r="K53" s="178" t="str">
        <f t="shared" si="30"/>
        <v/>
      </c>
      <c r="L53" s="178" t="str">
        <f t="shared" si="30"/>
        <v/>
      </c>
      <c r="M53" s="178" t="str">
        <f t="shared" si="30"/>
        <v/>
      </c>
    </row>
    <row r="54" spans="1:14" ht="15.75" customHeight="1" x14ac:dyDescent="0.4">
      <c r="A54" s="4"/>
      <c r="B54" s="98" t="s">
        <v>125</v>
      </c>
      <c r="C54" s="179">
        <f t="shared" ref="C54:M54" si="31">IF(C21="","",IF(C35&lt;=0,"-",C21/C35))</f>
        <v>1.353535576856592E-2</v>
      </c>
      <c r="D54" s="179" t="str">
        <f t="shared" si="31"/>
        <v>-</v>
      </c>
      <c r="E54" s="179" t="str">
        <f t="shared" si="31"/>
        <v/>
      </c>
      <c r="F54" s="179" t="str">
        <f t="shared" si="31"/>
        <v/>
      </c>
      <c r="G54" s="179" t="str">
        <f t="shared" si="31"/>
        <v/>
      </c>
      <c r="H54" s="179" t="str">
        <f t="shared" si="31"/>
        <v/>
      </c>
      <c r="I54" s="179" t="str">
        <f t="shared" si="31"/>
        <v/>
      </c>
      <c r="J54" s="179" t="str">
        <f t="shared" si="31"/>
        <v/>
      </c>
      <c r="K54" s="179" t="str">
        <f t="shared" si="31"/>
        <v/>
      </c>
      <c r="L54" s="179" t="str">
        <f t="shared" si="31"/>
        <v/>
      </c>
      <c r="M54" s="179" t="str">
        <f t="shared" si="31"/>
        <v/>
      </c>
    </row>
    <row r="55" spans="1:14" ht="15.75" customHeight="1" x14ac:dyDescent="0.4">
      <c r="A55" s="4"/>
      <c r="B55" s="98" t="s">
        <v>128</v>
      </c>
      <c r="C55" s="174">
        <f t="shared" ref="C55:M55" si="32">IF(C21="","",IF(C17&lt;=0,"-",C17/C21))</f>
        <v>1.8594705825833522</v>
      </c>
      <c r="D55" s="174">
        <f t="shared" si="32"/>
        <v>0.80874034327827515</v>
      </c>
      <c r="E55" s="174" t="str">
        <f t="shared" si="32"/>
        <v/>
      </c>
      <c r="F55" s="174" t="str">
        <f t="shared" si="32"/>
        <v/>
      </c>
      <c r="G55" s="174" t="str">
        <f t="shared" si="32"/>
        <v/>
      </c>
      <c r="H55" s="174" t="str">
        <f t="shared" si="32"/>
        <v/>
      </c>
      <c r="I55" s="174" t="str">
        <f t="shared" si="32"/>
        <v/>
      </c>
      <c r="J55" s="174" t="str">
        <f t="shared" si="32"/>
        <v/>
      </c>
      <c r="K55" s="174" t="str">
        <f t="shared" si="32"/>
        <v/>
      </c>
      <c r="L55" s="174" t="str">
        <f t="shared" si="32"/>
        <v/>
      </c>
      <c r="M55" s="174" t="str">
        <f t="shared" si="32"/>
        <v/>
      </c>
    </row>
    <row r="56" spans="1:14" ht="15.75" customHeight="1" x14ac:dyDescent="0.4">
      <c r="A56" s="4"/>
      <c r="B56" s="102" t="s">
        <v>21</v>
      </c>
      <c r="C56" s="180">
        <f t="shared" ref="C56:M56" si="33">IF(C28="","",C28/C31)</f>
        <v>0.98721156367748231</v>
      </c>
      <c r="D56" s="180" t="str">
        <f t="shared" si="33"/>
        <v/>
      </c>
      <c r="E56" s="180" t="str">
        <f t="shared" si="33"/>
        <v/>
      </c>
      <c r="F56" s="180" t="str">
        <f t="shared" si="33"/>
        <v/>
      </c>
      <c r="G56" s="180" t="str">
        <f t="shared" si="33"/>
        <v/>
      </c>
      <c r="H56" s="180" t="str">
        <f t="shared" si="33"/>
        <v/>
      </c>
      <c r="I56" s="180" t="str">
        <f t="shared" si="33"/>
        <v/>
      </c>
      <c r="J56" s="180" t="str">
        <f t="shared" si="33"/>
        <v/>
      </c>
      <c r="K56" s="180" t="str">
        <f t="shared" si="33"/>
        <v/>
      </c>
      <c r="L56" s="180" t="str">
        <f t="shared" si="33"/>
        <v/>
      </c>
      <c r="M56" s="180" t="str">
        <f t="shared" si="33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8" priority="1">
      <formula>LEN(TRIM(C6))=0</formula>
    </cfRule>
  </conditionalFormatting>
  <conditionalFormatting sqref="C25:M25">
    <cfRule type="containsBlanks" dxfId="7" priority="7">
      <formula>LEN(TRIM(C25))=0</formula>
    </cfRule>
  </conditionalFormatting>
  <conditionalFormatting sqref="C27:M40">
    <cfRule type="containsBlanks" dxfId="6" priority="8">
      <formula>LEN(TRIM(C27))=0</formula>
    </cfRule>
  </conditionalFormatting>
  <conditionalFormatting sqref="D24:M24">
    <cfRule type="containsBlanks" dxfId="5" priority="6">
      <formula>LEN(TRIM(D24))=0</formula>
    </cfRule>
  </conditionalFormatting>
  <conditionalFormatting sqref="F4">
    <cfRule type="containsBlanks" dxfId="4" priority="5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opLeftCell="A69" zoomScaleNormal="100" workbookViewId="0">
      <selection activeCell="D82" sqref="D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5"/>
      <c r="E2" s="90"/>
      <c r="F2" s="7"/>
      <c r="G2" s="7"/>
      <c r="H2" s="7"/>
      <c r="I2" s="90"/>
      <c r="K2" s="50" t="s">
        <v>8</v>
      </c>
    </row>
    <row r="3" spans="1:11" ht="15" customHeight="1" x14ac:dyDescent="0.4">
      <c r="B3" s="3" t="s">
        <v>23</v>
      </c>
      <c r="C3" s="90"/>
      <c r="D3" s="124">
        <f>C49-I49</f>
        <v>329934</v>
      </c>
      <c r="E3" s="70" t="str">
        <f>IF((C49-I49)=D3,"", "Error!")</f>
        <v/>
      </c>
      <c r="F3" s="90"/>
      <c r="G3" s="90"/>
      <c r="H3" s="47" t="s">
        <v>24</v>
      </c>
      <c r="I3" s="57">
        <v>326573</v>
      </c>
      <c r="K3" s="24"/>
    </row>
    <row r="4" spans="1:11" ht="15" customHeight="1" x14ac:dyDescent="0.4">
      <c r="B4" s="3" t="s">
        <v>25</v>
      </c>
      <c r="C4" s="90"/>
      <c r="D4" s="66">
        <f>D3-I3</f>
        <v>3361</v>
      </c>
      <c r="E4" s="37"/>
      <c r="F4" s="90"/>
      <c r="G4" s="90"/>
      <c r="H4" s="21"/>
      <c r="I4" s="54"/>
      <c r="K4" s="24"/>
    </row>
    <row r="5" spans="1:11" ht="15" customHeight="1" x14ac:dyDescent="0.4">
      <c r="C5" s="90"/>
      <c r="D5" s="90"/>
      <c r="E5" s="11" t="s">
        <v>26</v>
      </c>
      <c r="H5" s="1" t="s">
        <v>28</v>
      </c>
      <c r="I5" s="64">
        <f>C28/I28</f>
        <v>0.98721156367748231</v>
      </c>
      <c r="K5" s="24"/>
    </row>
    <row r="6" spans="1:11" ht="15" customHeight="1" thickBot="1" x14ac:dyDescent="0.45">
      <c r="B6" s="20" t="s">
        <v>27</v>
      </c>
      <c r="C6" s="90"/>
      <c r="D6" s="72">
        <f>(E49-I49-E53)*Exchange_Rate</f>
        <v>-1738425.95</v>
      </c>
      <c r="E6" s="56">
        <f>1-D6/D3</f>
        <v>6.2690112264877218</v>
      </c>
      <c r="F6" s="90"/>
      <c r="G6" s="90"/>
      <c r="H6" s="1" t="s">
        <v>30</v>
      </c>
      <c r="I6" s="64">
        <f>(C24+C25)/I28</f>
        <v>0.98721156367748231</v>
      </c>
      <c r="J6" s="90"/>
      <c r="K6" s="24"/>
    </row>
    <row r="7" spans="1:11" ht="15" customHeight="1" thickTop="1" x14ac:dyDescent="0.4">
      <c r="B7" s="19" t="s">
        <v>29</v>
      </c>
      <c r="C7" s="90"/>
      <c r="D7" s="67">
        <f>MAX((D6*Exchange_Rate*Data!C4)/Common_Shares, 0)</f>
        <v>0</v>
      </c>
      <c r="E7" s="11" t="str">
        <f>Dashboard!H3</f>
        <v>HKD</v>
      </c>
      <c r="H7" s="1" t="s">
        <v>31</v>
      </c>
      <c r="I7" s="64">
        <f>C24/I28</f>
        <v>0.51071963850422841</v>
      </c>
      <c r="J7" s="90"/>
      <c r="K7" s="33"/>
    </row>
    <row r="8" spans="1:11" ht="15" customHeight="1" x14ac:dyDescent="0.4">
      <c r="C8" s="90"/>
      <c r="D8" s="90"/>
      <c r="E8" s="90"/>
      <c r="K8" s="24"/>
    </row>
    <row r="9" spans="1:11" ht="15" customHeight="1" x14ac:dyDescent="0.4">
      <c r="A9" s="2"/>
      <c r="B9" s="46" t="s">
        <v>32</v>
      </c>
      <c r="C9" s="89"/>
      <c r="D9" s="68">
        <v>45473</v>
      </c>
      <c r="E9" s="127" t="str">
        <f>IF(MONTH(D9)=MONTH(Data!C3),"FY","Quarter")</f>
        <v>Quarter</v>
      </c>
      <c r="F9" s="89"/>
      <c r="G9" s="89"/>
      <c r="H9" s="89"/>
      <c r="I9" s="89"/>
      <c r="K9" s="24"/>
    </row>
    <row r="10" spans="1:11" ht="15" customHeight="1" x14ac:dyDescent="0.4">
      <c r="B10" s="3" t="s">
        <v>33</v>
      </c>
      <c r="C10" s="77" t="s">
        <v>34</v>
      </c>
      <c r="D10" s="77" t="s">
        <v>218</v>
      </c>
      <c r="E10" s="77" t="s">
        <v>35</v>
      </c>
      <c r="F10" s="116" t="s">
        <v>36</v>
      </c>
      <c r="G10" s="90"/>
      <c r="H10" s="22" t="s">
        <v>37</v>
      </c>
      <c r="I10" s="77" t="s">
        <v>34</v>
      </c>
      <c r="K10" s="24"/>
    </row>
    <row r="11" spans="1:11" ht="15" customHeight="1" x14ac:dyDescent="0.4">
      <c r="B11" s="3" t="s">
        <v>38</v>
      </c>
      <c r="C11" s="60">
        <v>697785</v>
      </c>
      <c r="D11" s="61">
        <v>1</v>
      </c>
      <c r="E11" s="91">
        <f t="shared" ref="E11:E21" si="0">C11*D11</f>
        <v>697785</v>
      </c>
      <c r="F11" s="117"/>
      <c r="G11" s="90"/>
      <c r="H11" s="3" t="s">
        <v>39</v>
      </c>
      <c r="I11" s="60">
        <f>322117+2638288</f>
        <v>2960405</v>
      </c>
      <c r="J11" s="90"/>
      <c r="K11" s="24"/>
    </row>
    <row r="12" spans="1:11" ht="13.9" x14ac:dyDescent="0.4">
      <c r="B12" s="1" t="s">
        <v>148</v>
      </c>
      <c r="C12" s="60"/>
      <c r="D12" s="61">
        <v>0.95</v>
      </c>
      <c r="E12" s="91">
        <f t="shared" si="0"/>
        <v>0</v>
      </c>
      <c r="F12" s="117"/>
      <c r="G12" s="90"/>
      <c r="H12" s="3" t="s">
        <v>40</v>
      </c>
      <c r="I12" s="60"/>
      <c r="J12" s="90"/>
      <c r="K12" s="24"/>
    </row>
    <row r="13" spans="1:11" ht="13.9" x14ac:dyDescent="0.4">
      <c r="B13" s="3" t="s">
        <v>121</v>
      </c>
      <c r="C13" s="60"/>
      <c r="D13" s="61">
        <v>0.8</v>
      </c>
      <c r="E13" s="91">
        <f t="shared" si="0"/>
        <v>0</v>
      </c>
      <c r="F13" s="117"/>
      <c r="G13" s="90"/>
      <c r="H13" s="3" t="s">
        <v>41</v>
      </c>
      <c r="I13" s="60"/>
      <c r="J13" s="90"/>
      <c r="K13" s="26"/>
    </row>
    <row r="14" spans="1:11" ht="13.9" x14ac:dyDescent="0.4">
      <c r="B14" s="3" t="s">
        <v>42</v>
      </c>
      <c r="C14" s="60">
        <f>201801+973894</f>
        <v>1175695</v>
      </c>
      <c r="D14" s="61">
        <v>0.3</v>
      </c>
      <c r="E14" s="91">
        <f>C14*D14</f>
        <v>352708.5</v>
      </c>
      <c r="F14" s="117"/>
      <c r="G14" s="90"/>
      <c r="H14" s="89" t="s">
        <v>43</v>
      </c>
      <c r="I14" s="128">
        <f>71249+44044</f>
        <v>115293</v>
      </c>
      <c r="J14" s="90"/>
      <c r="K14" s="27"/>
    </row>
    <row r="15" spans="1:11" ht="13.9" x14ac:dyDescent="0.4">
      <c r="B15" s="3" t="s">
        <v>44</v>
      </c>
      <c r="C15" s="60"/>
      <c r="D15" s="61">
        <v>0.05</v>
      </c>
      <c r="E15" s="91">
        <f>C15*D15</f>
        <v>0</v>
      </c>
      <c r="F15" s="117"/>
      <c r="G15" s="90"/>
      <c r="H15" s="1" t="s">
        <v>54</v>
      </c>
      <c r="I15" s="87">
        <f>SUM(I11:I14)</f>
        <v>3075698</v>
      </c>
      <c r="J15" s="90"/>
    </row>
    <row r="16" spans="1:11" ht="13.9" x14ac:dyDescent="0.4">
      <c r="B16" s="1" t="s">
        <v>172</v>
      </c>
      <c r="C16" s="60">
        <f>58533+1689389</f>
        <v>1747922</v>
      </c>
      <c r="D16" s="61">
        <v>0.5</v>
      </c>
      <c r="E16" s="91">
        <f t="shared" si="0"/>
        <v>873961</v>
      </c>
      <c r="F16" s="117"/>
      <c r="G16" s="30"/>
      <c r="H16" s="3"/>
      <c r="I16" s="40"/>
      <c r="J16" s="90"/>
    </row>
    <row r="17" spans="2:10" ht="13.9" x14ac:dyDescent="0.4">
      <c r="B17" s="3" t="s">
        <v>122</v>
      </c>
      <c r="C17" s="60"/>
      <c r="D17" s="61">
        <v>0.1</v>
      </c>
      <c r="E17" s="91">
        <f t="shared" si="0"/>
        <v>0</v>
      </c>
      <c r="F17" s="117"/>
      <c r="G17" s="90"/>
      <c r="H17" s="3"/>
      <c r="I17" s="40"/>
      <c r="J17" s="90"/>
    </row>
    <row r="18" spans="2:10" ht="13.9" x14ac:dyDescent="0.4">
      <c r="B18" s="3" t="s">
        <v>47</v>
      </c>
      <c r="C18" s="60"/>
      <c r="D18" s="61">
        <v>0.5</v>
      </c>
      <c r="E18" s="91">
        <f t="shared" si="0"/>
        <v>0</v>
      </c>
      <c r="F18" s="117"/>
      <c r="G18" s="90"/>
      <c r="H18" s="90"/>
      <c r="I18" s="90"/>
    </row>
    <row r="19" spans="2:10" ht="13.9" x14ac:dyDescent="0.4">
      <c r="B19" s="1" t="s">
        <v>48</v>
      </c>
      <c r="C19" s="60"/>
      <c r="D19" s="61">
        <v>0.75</v>
      </c>
      <c r="E19" s="91">
        <f t="shared" si="0"/>
        <v>0</v>
      </c>
      <c r="F19" s="118" t="s">
        <v>46</v>
      </c>
      <c r="G19" s="30">
        <f>IF(F19="Y",0,1)</f>
        <v>0</v>
      </c>
    </row>
    <row r="20" spans="2:10" ht="13.9" x14ac:dyDescent="0.4">
      <c r="B20" s="3" t="s">
        <v>124</v>
      </c>
      <c r="C20" s="60"/>
      <c r="D20" s="61">
        <v>0.6</v>
      </c>
      <c r="E20" s="91">
        <f t="shared" si="0"/>
        <v>0</v>
      </c>
      <c r="F20" s="11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0"/>
      <c r="D21" s="61">
        <v>0.95</v>
      </c>
      <c r="E21" s="91">
        <f t="shared" si="0"/>
        <v>0</v>
      </c>
      <c r="F21" s="117"/>
      <c r="G21" s="90"/>
      <c r="H21" s="3"/>
      <c r="I21" s="40"/>
    </row>
    <row r="22" spans="2:10" ht="15" customHeight="1" x14ac:dyDescent="0.4">
      <c r="B22" s="3" t="s">
        <v>51</v>
      </c>
      <c r="C22" s="60"/>
      <c r="D22" s="61">
        <v>0.2</v>
      </c>
      <c r="E22" s="91">
        <f t="shared" ref="E22" si="1">C22*D22</f>
        <v>0</v>
      </c>
      <c r="F22" s="117"/>
      <c r="G22" s="90"/>
      <c r="H22" s="3" t="s">
        <v>45</v>
      </c>
      <c r="I22" s="52">
        <f>I28-SUM(I11:I14)</f>
        <v>592616</v>
      </c>
    </row>
    <row r="23" spans="2:10" ht="15" customHeight="1" x14ac:dyDescent="0.4">
      <c r="C23" s="90"/>
      <c r="D23" s="90"/>
      <c r="E23" s="90"/>
      <c r="F23" s="116" t="s">
        <v>52</v>
      </c>
      <c r="G23" s="90"/>
    </row>
    <row r="24" spans="2:10" ht="15" customHeight="1" x14ac:dyDescent="0.4">
      <c r="B24" s="23" t="s">
        <v>53</v>
      </c>
      <c r="C24" s="62">
        <f>SUM(C11:C14)</f>
        <v>1873480</v>
      </c>
      <c r="D24" s="63">
        <f>IF(E24=0,0,E24/C24)</f>
        <v>0.56071775519354361</v>
      </c>
      <c r="E24" s="91">
        <f>SUM(E11:E14)</f>
        <v>1050493.5</v>
      </c>
      <c r="F24" s="119">
        <f>E24/$E$28</f>
        <v>0.54586559463993567</v>
      </c>
      <c r="G24" s="90"/>
    </row>
    <row r="25" spans="2:10" ht="15" customHeight="1" x14ac:dyDescent="0.4">
      <c r="B25" s="23" t="s">
        <v>55</v>
      </c>
      <c r="C25" s="62">
        <f>SUM(C15:C17)</f>
        <v>1747922</v>
      </c>
      <c r="D25" s="63">
        <f>IF(E25=0,0,E25/C25)</f>
        <v>0.5</v>
      </c>
      <c r="E25" s="91">
        <f>SUM(E15:E17)</f>
        <v>873961</v>
      </c>
      <c r="F25" s="119">
        <f t="shared" ref="F25:F27" si="2">E25/$E$28</f>
        <v>0.45413440536006439</v>
      </c>
      <c r="G25" s="90"/>
      <c r="H25" s="23" t="s">
        <v>56</v>
      </c>
      <c r="I25" s="64">
        <f>E28/I28</f>
        <v>0.52461553182197596</v>
      </c>
    </row>
    <row r="26" spans="2:10" ht="15" customHeight="1" x14ac:dyDescent="0.4">
      <c r="B26" s="23" t="s">
        <v>57</v>
      </c>
      <c r="C26" s="62">
        <f>C18+C19+C20</f>
        <v>0</v>
      </c>
      <c r="D26" s="63">
        <f t="shared" ref="D26:D27" si="3">IF(E26=0,0,E26/C26)</f>
        <v>0</v>
      </c>
      <c r="E26" s="91">
        <f>E18+E19+E20</f>
        <v>0</v>
      </c>
      <c r="F26" s="119">
        <f t="shared" si="2"/>
        <v>0</v>
      </c>
      <c r="G26" s="90"/>
      <c r="H26" s="23" t="s">
        <v>58</v>
      </c>
      <c r="I26" s="64">
        <f>E24/($I$28-I22)</f>
        <v>0.34154637418888328</v>
      </c>
      <c r="J26" s="8" t="str">
        <f>IF(I26&lt;1,"Liquidity Problem!","")</f>
        <v>Liquidity Problem!</v>
      </c>
    </row>
    <row r="27" spans="2:10" ht="15" customHeight="1" x14ac:dyDescent="0.4">
      <c r="B27" s="23" t="s">
        <v>59</v>
      </c>
      <c r="C27" s="80">
        <f>C21+C22</f>
        <v>0</v>
      </c>
      <c r="D27" s="63">
        <f t="shared" si="3"/>
        <v>0</v>
      </c>
      <c r="E27" s="91">
        <f>E21+E22</f>
        <v>0</v>
      </c>
      <c r="F27" s="119">
        <f t="shared" si="2"/>
        <v>0</v>
      </c>
      <c r="G27" s="90"/>
      <c r="H27" s="23" t="s">
        <v>60</v>
      </c>
      <c r="I27" s="64">
        <f>(E25+E24)/$I$28</f>
        <v>0.52461553182197596</v>
      </c>
      <c r="J27" s="8" t="str">
        <f>IF(OR(I27&lt;0.75,C28&lt;I28),"Liquidity Problem!","")</f>
        <v>Liquidity Problem!</v>
      </c>
    </row>
    <row r="28" spans="2:10" ht="15" customHeight="1" x14ac:dyDescent="0.4">
      <c r="B28" s="81" t="s">
        <v>15</v>
      </c>
      <c r="C28" s="82">
        <f>SUM(C11:C22)</f>
        <v>3621402</v>
      </c>
      <c r="D28" s="58">
        <f t="shared" ref="D28" si="4">E28/C28</f>
        <v>0.53141145335425344</v>
      </c>
      <c r="E28" s="73">
        <f>SUM(E24:E27)</f>
        <v>1924454.5</v>
      </c>
      <c r="F28" s="117"/>
      <c r="G28" s="90"/>
      <c r="H28" s="81" t="s">
        <v>16</v>
      </c>
      <c r="I28" s="69">
        <v>3668314</v>
      </c>
      <c r="J28" s="32">
        <f>IF(J26="",1,0)+IF(J27="",1,0)+IF(J46="",1,0)+IF(J47="",1,0)</f>
        <v>1</v>
      </c>
    </row>
    <row r="29" spans="2:10" ht="15" customHeight="1" x14ac:dyDescent="0.4">
      <c r="C29" s="90"/>
      <c r="D29" s="90"/>
      <c r="E29" s="90"/>
      <c r="F29" s="117" t="s">
        <v>36</v>
      </c>
      <c r="G29" s="90"/>
      <c r="H29" s="90"/>
      <c r="I29" s="90"/>
      <c r="J29" s="90"/>
    </row>
    <row r="30" spans="2:10" ht="15" customHeight="1" x14ac:dyDescent="0.4">
      <c r="B30" s="3" t="s">
        <v>61</v>
      </c>
      <c r="C30" s="60">
        <v>210370</v>
      </c>
      <c r="D30" s="61">
        <v>0.95</v>
      </c>
      <c r="E30" s="91">
        <v>0</v>
      </c>
      <c r="F30" s="117"/>
      <c r="G30" s="90"/>
      <c r="H30" s="3" t="s">
        <v>62</v>
      </c>
      <c r="I30" s="60"/>
      <c r="J30" s="90"/>
    </row>
    <row r="31" spans="2:10" ht="15" customHeight="1" x14ac:dyDescent="0.4">
      <c r="B31" s="3" t="s">
        <v>63</v>
      </c>
      <c r="C31" s="60"/>
      <c r="D31" s="61">
        <v>0.5</v>
      </c>
      <c r="E31" s="91">
        <f t="shared" ref="E31:E42" si="5">C31*D31</f>
        <v>0</v>
      </c>
      <c r="F31" s="117"/>
      <c r="G31" s="90"/>
      <c r="H31" s="3" t="s">
        <v>64</v>
      </c>
      <c r="I31" s="60"/>
      <c r="J31" s="90"/>
    </row>
    <row r="32" spans="2:10" ht="15" customHeight="1" x14ac:dyDescent="0.4">
      <c r="B32" s="3" t="s">
        <v>65</v>
      </c>
      <c r="C32" s="60"/>
      <c r="D32" s="61">
        <v>0.4</v>
      </c>
      <c r="E32" s="91">
        <f t="shared" si="5"/>
        <v>0</v>
      </c>
      <c r="F32" s="117"/>
      <c r="G32" s="90"/>
      <c r="H32" s="3" t="s">
        <v>66</v>
      </c>
      <c r="I32" s="60"/>
      <c r="J32" s="90"/>
    </row>
    <row r="33" spans="2:10" ht="13.9" x14ac:dyDescent="0.4">
      <c r="B33" s="1" t="s">
        <v>173</v>
      </c>
      <c r="C33" s="60"/>
      <c r="D33" s="61">
        <v>0.5</v>
      </c>
      <c r="E33" s="91">
        <f t="shared" si="5"/>
        <v>0</v>
      </c>
      <c r="F33" s="117"/>
      <c r="G33" s="30">
        <f>IF(F33="Y",0,1)</f>
        <v>1</v>
      </c>
      <c r="H33" s="89" t="s">
        <v>67</v>
      </c>
      <c r="I33" s="128"/>
      <c r="J33" s="90"/>
    </row>
    <row r="34" spans="2:10" ht="13.9" x14ac:dyDescent="0.4">
      <c r="B34" s="3" t="s">
        <v>68</v>
      </c>
      <c r="C34" s="60"/>
      <c r="D34" s="61">
        <v>0</v>
      </c>
      <c r="E34" s="91">
        <f t="shared" si="5"/>
        <v>0</v>
      </c>
      <c r="F34" s="117"/>
      <c r="G34" s="90"/>
      <c r="H34" s="1" t="s">
        <v>78</v>
      </c>
      <c r="I34" s="87">
        <f>SUM(I30:I33)</f>
        <v>0</v>
      </c>
      <c r="J34" s="90"/>
    </row>
    <row r="35" spans="2:10" ht="13.9" x14ac:dyDescent="0.4">
      <c r="B35" s="3" t="s">
        <v>70</v>
      </c>
      <c r="C35" s="60">
        <v>1184</v>
      </c>
      <c r="D35" s="61">
        <v>0.1</v>
      </c>
      <c r="E35" s="91">
        <f t="shared" si="5"/>
        <v>118.4</v>
      </c>
      <c r="F35" s="118" t="s">
        <v>71</v>
      </c>
      <c r="G35" s="30">
        <f>IF(F35="Y",0,1)</f>
        <v>1</v>
      </c>
      <c r="J35" s="90"/>
    </row>
    <row r="36" spans="2:10" ht="13.9" x14ac:dyDescent="0.4">
      <c r="B36" s="3" t="s">
        <v>72</v>
      </c>
      <c r="C36" s="60">
        <v>14627</v>
      </c>
      <c r="D36" s="61">
        <v>0.2</v>
      </c>
      <c r="E36" s="91">
        <f t="shared" si="5"/>
        <v>2925.4</v>
      </c>
      <c r="F36" s="118" t="s">
        <v>71</v>
      </c>
      <c r="G36" s="30">
        <f>IF(F36="Y",0,1)</f>
        <v>1</v>
      </c>
      <c r="H36" s="90"/>
      <c r="I36" s="90"/>
    </row>
    <row r="37" spans="2:10" ht="13.9" x14ac:dyDescent="0.4">
      <c r="B37" s="1" t="s">
        <v>49</v>
      </c>
      <c r="C37" s="60"/>
      <c r="D37" s="61">
        <v>0.05</v>
      </c>
      <c r="E37" s="91">
        <f>C37*D37</f>
        <v>0</v>
      </c>
      <c r="F37" s="118" t="s">
        <v>46</v>
      </c>
      <c r="G37" s="30">
        <f>IF(F37="Y",0,1)</f>
        <v>0</v>
      </c>
      <c r="H37" s="90"/>
      <c r="I37" s="90"/>
    </row>
    <row r="38" spans="2:10" ht="15" customHeight="1" x14ac:dyDescent="0.4">
      <c r="B38" s="3" t="s">
        <v>123</v>
      </c>
      <c r="C38" s="60">
        <v>41728</v>
      </c>
      <c r="D38" s="61">
        <v>0.1</v>
      </c>
      <c r="E38" s="91">
        <f>C38*D38</f>
        <v>4172.8</v>
      </c>
      <c r="F38" s="117"/>
      <c r="G38" s="90"/>
      <c r="H38" s="90"/>
      <c r="I38" s="90"/>
    </row>
    <row r="39" spans="2:10" ht="13.9" x14ac:dyDescent="0.4">
      <c r="B39" s="3" t="s">
        <v>73</v>
      </c>
      <c r="C39" s="60"/>
      <c r="D39" s="61">
        <v>0.05</v>
      </c>
      <c r="E39" s="91">
        <f t="shared" si="5"/>
        <v>0</v>
      </c>
      <c r="F39" s="117"/>
      <c r="G39" s="90"/>
      <c r="H39" s="90"/>
      <c r="I39" s="90"/>
    </row>
    <row r="40" spans="2:10" ht="15" customHeight="1" x14ac:dyDescent="0.4">
      <c r="B40" s="3" t="s">
        <v>74</v>
      </c>
      <c r="C40" s="60"/>
      <c r="D40" s="61">
        <v>0.05</v>
      </c>
      <c r="E40" s="91">
        <f t="shared" si="5"/>
        <v>0</v>
      </c>
      <c r="F40" s="117"/>
      <c r="G40" s="90"/>
      <c r="H40" s="90"/>
      <c r="I40" s="90"/>
    </row>
    <row r="41" spans="2:10" ht="15" customHeight="1" x14ac:dyDescent="0.4">
      <c r="B41" s="3" t="s">
        <v>75</v>
      </c>
      <c r="C41" s="60">
        <v>1661</v>
      </c>
      <c r="D41" s="61">
        <v>0.95</v>
      </c>
      <c r="E41" s="91">
        <f t="shared" si="5"/>
        <v>1577.9499999999998</v>
      </c>
      <c r="F41" s="117"/>
      <c r="G41" s="90"/>
      <c r="H41" s="90"/>
      <c r="I41" s="90"/>
    </row>
    <row r="42" spans="2:10" ht="15" customHeight="1" x14ac:dyDescent="0.4">
      <c r="B42" s="3" t="s">
        <v>76</v>
      </c>
      <c r="C42" s="60">
        <v>107276</v>
      </c>
      <c r="D42" s="61">
        <v>0</v>
      </c>
      <c r="E42" s="91">
        <f t="shared" si="5"/>
        <v>0</v>
      </c>
      <c r="F42" s="117"/>
      <c r="G42" s="90"/>
      <c r="H42" s="3" t="s">
        <v>69</v>
      </c>
      <c r="I42" s="52">
        <f>I48-SUM(I30:I33)</f>
        <v>0</v>
      </c>
    </row>
    <row r="43" spans="2:10" ht="15" customHeight="1" x14ac:dyDescent="0.4">
      <c r="C43" s="90"/>
      <c r="D43" s="90"/>
      <c r="E43" s="90"/>
      <c r="F43" s="90"/>
      <c r="G43" s="90"/>
      <c r="H43" s="90"/>
      <c r="I43" s="90"/>
    </row>
    <row r="44" spans="2:10" ht="15" customHeight="1" x14ac:dyDescent="0.4">
      <c r="B44" s="23" t="s">
        <v>77</v>
      </c>
      <c r="C44" s="62">
        <f>SUM(C30:C31)</f>
        <v>210370</v>
      </c>
      <c r="D44" s="63">
        <f>IF(E44=0,0,E44/C44)</f>
        <v>0</v>
      </c>
      <c r="E44" s="91">
        <f>SUM(E30:E31)</f>
        <v>0</v>
      </c>
      <c r="F44" s="75"/>
      <c r="G44" s="90"/>
    </row>
    <row r="45" spans="2:10" ht="15" customHeight="1" x14ac:dyDescent="0.4">
      <c r="B45" s="23" t="s">
        <v>79</v>
      </c>
      <c r="C45" s="62">
        <f>SUM(C32:C35)</f>
        <v>1184</v>
      </c>
      <c r="D45" s="63">
        <f>IF(E45=0,0,E45/C45)</f>
        <v>0.1</v>
      </c>
      <c r="E45" s="91">
        <f>SUM(E32:E35)</f>
        <v>118.4</v>
      </c>
      <c r="F45" s="75"/>
      <c r="G45" s="90"/>
    </row>
    <row r="46" spans="2:10" ht="15" customHeight="1" x14ac:dyDescent="0.4">
      <c r="B46" s="23" t="s">
        <v>80</v>
      </c>
      <c r="C46" s="62">
        <f>C36+C37+C38+C39</f>
        <v>56355</v>
      </c>
      <c r="D46" s="63">
        <f t="shared" ref="D46:D47" si="6">IF(E46=0,0,E46/C46)</f>
        <v>0.12595510602431018</v>
      </c>
      <c r="E46" s="91">
        <f>E36+E37+E38+E39</f>
        <v>7098.2000000000007</v>
      </c>
      <c r="F46" s="90"/>
      <c r="G46" s="90"/>
      <c r="H46" s="23" t="s">
        <v>81</v>
      </c>
      <c r="I46" s="64">
        <f>(E44+E24)/E64</f>
        <v>0.34154637418888328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2">
        <f>C40+C41+C42</f>
        <v>108937</v>
      </c>
      <c r="D47" s="63">
        <f t="shared" si="6"/>
        <v>1.4484977555835022E-2</v>
      </c>
      <c r="E47" s="91">
        <f>E40+E41+E42</f>
        <v>1577.9499999999998</v>
      </c>
      <c r="F47" s="90"/>
      <c r="G47" s="90"/>
      <c r="H47" s="23" t="s">
        <v>83</v>
      </c>
      <c r="I47" s="64">
        <f>(E44+E45+E24+E25)/$I$49</f>
        <v>0.52464780823015689</v>
      </c>
      <c r="J47" s="8" t="str">
        <f>IF(OR(I47&lt;0.5,C49&lt;I49),"Liquidity Problem!","")</f>
        <v/>
      </c>
    </row>
    <row r="48" spans="2:10" ht="15" customHeight="1" thickBot="1" x14ac:dyDescent="0.45">
      <c r="B48" s="83" t="s">
        <v>84</v>
      </c>
      <c r="C48" s="84">
        <f>SUM(C30:C42)</f>
        <v>376846</v>
      </c>
      <c r="D48" s="85">
        <f>E48/C48</f>
        <v>2.3337251821699049E-2</v>
      </c>
      <c r="E48" s="79">
        <f>SUM(E30:E42)</f>
        <v>8794.5499999999993</v>
      </c>
      <c r="F48" s="90"/>
      <c r="G48" s="90"/>
      <c r="H48" s="83" t="s">
        <v>85</v>
      </c>
      <c r="I48" s="86">
        <v>0</v>
      </c>
      <c r="J48" s="8"/>
    </row>
    <row r="49" spans="2:10" ht="15" customHeight="1" thickTop="1" x14ac:dyDescent="0.4">
      <c r="B49" s="3" t="s">
        <v>14</v>
      </c>
      <c r="C49" s="62">
        <f>C28+C48</f>
        <v>3998248</v>
      </c>
      <c r="D49" s="56">
        <f>E49/C49</f>
        <v>0.48352404603216209</v>
      </c>
      <c r="E49" s="91">
        <f>E28+E48</f>
        <v>1933249.05</v>
      </c>
      <c r="F49" s="90"/>
      <c r="G49" s="90"/>
      <c r="H49" s="3" t="s">
        <v>86</v>
      </c>
      <c r="I49" s="52">
        <f>I28+I48</f>
        <v>3668314</v>
      </c>
      <c r="J49" s="90"/>
    </row>
    <row r="50" spans="2:10" ht="15" customHeight="1" x14ac:dyDescent="0.4">
      <c r="C50" s="90"/>
      <c r="D50" s="90"/>
      <c r="E50" s="90"/>
      <c r="I50" s="90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0"/>
      <c r="D52" s="77" t="str">
        <f>IF(E53=D4,"BV of the MI","P/B Approach")</f>
        <v>BV of the MI</v>
      </c>
      <c r="E52" s="90"/>
      <c r="F52" s="90"/>
      <c r="G52" s="90"/>
      <c r="H52" s="50" t="s">
        <v>8</v>
      </c>
      <c r="I52" s="90"/>
    </row>
    <row r="53" spans="2:10" ht="13.9" x14ac:dyDescent="0.4">
      <c r="B53" s="3" t="s">
        <v>89</v>
      </c>
      <c r="C53" s="91">
        <f>MAX(D4,0)</f>
        <v>3361</v>
      </c>
      <c r="D53" s="29">
        <f>IF(E53=0, 0,E53/C53)</f>
        <v>1</v>
      </c>
      <c r="E53" s="91">
        <f>MAX(C53,C53*Dashboard!G23)</f>
        <v>3361</v>
      </c>
      <c r="F53" s="90"/>
      <c r="G53" s="90"/>
      <c r="H53" s="90"/>
      <c r="I53" s="41"/>
    </row>
    <row r="54" spans="2:10" ht="15" customHeight="1" x14ac:dyDescent="0.4">
      <c r="C54" s="90"/>
      <c r="D54" s="90"/>
      <c r="E54" s="90"/>
      <c r="F54" s="90"/>
      <c r="G54" s="90"/>
      <c r="H54" s="90"/>
      <c r="I54" s="90"/>
    </row>
    <row r="55" spans="2:10" ht="13.9" x14ac:dyDescent="0.4">
      <c r="B55" s="25" t="s">
        <v>163</v>
      </c>
      <c r="C55" s="3"/>
      <c r="E55" s="135"/>
      <c r="F55" s="3"/>
      <c r="G55" s="3"/>
      <c r="H55" s="90"/>
      <c r="I55" s="90"/>
    </row>
    <row r="56" spans="2:10" ht="13.9" x14ac:dyDescent="0.4">
      <c r="B56" s="20" t="s">
        <v>90</v>
      </c>
      <c r="C56" s="90"/>
      <c r="D56" s="219">
        <f>I15+I34</f>
        <v>3075698</v>
      </c>
      <c r="E56" s="220"/>
      <c r="F56" s="3"/>
      <c r="G56" s="3"/>
      <c r="H56" s="90"/>
      <c r="I56" s="56"/>
    </row>
    <row r="57" spans="2:10" ht="13.9" x14ac:dyDescent="0.4">
      <c r="B57" s="20" t="s">
        <v>91</v>
      </c>
      <c r="C57" s="90"/>
      <c r="D57" s="218">
        <v>0</v>
      </c>
      <c r="E57" s="217"/>
      <c r="G57" s="90"/>
      <c r="H57" s="90" t="s">
        <v>92</v>
      </c>
      <c r="I57" s="90"/>
    </row>
    <row r="58" spans="2:10" ht="12.75" customHeight="1" x14ac:dyDescent="0.4">
      <c r="B58" s="20" t="s">
        <v>93</v>
      </c>
      <c r="C58" s="90"/>
      <c r="D58" s="218">
        <v>0</v>
      </c>
      <c r="E58" s="217"/>
      <c r="F58" s="3"/>
      <c r="G58" s="3"/>
      <c r="H58" s="90"/>
      <c r="I58" s="90"/>
    </row>
    <row r="59" spans="2:10" ht="15" customHeight="1" x14ac:dyDescent="0.4">
      <c r="C59" s="90"/>
      <c r="D59" s="90"/>
      <c r="E59" s="90"/>
      <c r="F59" s="90"/>
      <c r="G59" s="90"/>
      <c r="H59" s="90"/>
      <c r="I59" s="90"/>
    </row>
    <row r="60" spans="2:10" ht="13.9" x14ac:dyDescent="0.4">
      <c r="B60" s="25" t="s">
        <v>166</v>
      </c>
      <c r="C60" s="3"/>
      <c r="D60" s="78" t="s">
        <v>94</v>
      </c>
      <c r="E60" s="90"/>
      <c r="F60" s="9"/>
      <c r="G60" s="9"/>
      <c r="H60" s="90"/>
      <c r="I60" s="90"/>
    </row>
    <row r="61" spans="2:10" ht="15" customHeight="1" x14ac:dyDescent="0.4">
      <c r="B61" s="19" t="s">
        <v>95</v>
      </c>
      <c r="C61" s="71">
        <f>C14+C15+(C19*G19)+(C20*G20)+C31+C32+(C35*G35)+(C36*G36)+(C37*G37)</f>
        <v>1191506</v>
      </c>
      <c r="D61" s="56">
        <f t="shared" ref="D61:D70" si="7">IF(E61=0,0,E61/C61)</f>
        <v>0.29857365384647666</v>
      </c>
      <c r="E61" s="52">
        <f>E14+E15+(E19*G19)+(E20*G20)+E31+E32+(E35*G35)+(E36*G36)+(E37*G37)</f>
        <v>355752.30000000005</v>
      </c>
      <c r="F61" s="90"/>
      <c r="G61" s="90"/>
      <c r="H61" s="90"/>
      <c r="I61" s="90"/>
    </row>
    <row r="62" spans="2:10" ht="13.9" x14ac:dyDescent="0.4">
      <c r="B62" s="35" t="s">
        <v>152</v>
      </c>
      <c r="C62" s="125">
        <f>C11+C30</f>
        <v>908155</v>
      </c>
      <c r="D62" s="112">
        <f t="shared" si="7"/>
        <v>0.7683545209793482</v>
      </c>
      <c r="E62" s="126">
        <f>E11+E30</f>
        <v>697785</v>
      </c>
      <c r="F62" s="90"/>
      <c r="G62" s="90"/>
      <c r="H62" s="90"/>
      <c r="I62" s="90"/>
    </row>
    <row r="63" spans="2:10" ht="13.9" x14ac:dyDescent="0.4">
      <c r="B63" s="19" t="s">
        <v>154</v>
      </c>
      <c r="C63" s="71">
        <f>C61+C62</f>
        <v>2099661</v>
      </c>
      <c r="D63" s="29">
        <f t="shared" si="7"/>
        <v>0.50176542784763833</v>
      </c>
      <c r="E63" s="62">
        <f>E61+E62</f>
        <v>1053537.3</v>
      </c>
      <c r="F63" s="90"/>
      <c r="G63" s="90"/>
      <c r="H63" s="90"/>
      <c r="I63" s="90"/>
    </row>
    <row r="64" spans="2:10" ht="14.25" thickBot="1" x14ac:dyDescent="0.45">
      <c r="B64" s="129" t="s">
        <v>164</v>
      </c>
      <c r="C64" s="130"/>
      <c r="D64" s="131"/>
      <c r="E64" s="72">
        <f>D56+D57+D58</f>
        <v>3075698</v>
      </c>
      <c r="F64" s="90"/>
      <c r="G64" s="90"/>
      <c r="H64" s="90"/>
      <c r="I64" s="90"/>
    </row>
    <row r="65" spans="1:9" ht="14.25" thickTop="1" x14ac:dyDescent="0.4">
      <c r="B65" s="3" t="s">
        <v>155</v>
      </c>
      <c r="C65" s="71">
        <f>C63-E64</f>
        <v>-976037</v>
      </c>
      <c r="D65" s="29">
        <f t="shared" si="7"/>
        <v>2.0718074212350555</v>
      </c>
      <c r="E65" s="62">
        <f>E63-E64</f>
        <v>-2022160.7</v>
      </c>
      <c r="F65" s="90"/>
      <c r="G65" s="90"/>
      <c r="H65" s="90"/>
      <c r="I65" s="90"/>
    </row>
    <row r="66" spans="1:9" ht="13.9" x14ac:dyDescent="0.4">
      <c r="B66" s="3"/>
      <c r="C66" s="71"/>
      <c r="D66" s="29"/>
      <c r="E66" s="62"/>
      <c r="F66" s="90"/>
      <c r="G66" s="90"/>
      <c r="H66" s="90"/>
      <c r="I66" s="90"/>
    </row>
    <row r="67" spans="1:9" ht="13.9" x14ac:dyDescent="0.4">
      <c r="B67" s="25" t="s">
        <v>167</v>
      </c>
      <c r="C67" s="3"/>
      <c r="D67" s="78" t="s">
        <v>94</v>
      </c>
      <c r="E67" s="62"/>
      <c r="F67" s="90"/>
      <c r="G67" s="90"/>
      <c r="H67" s="90"/>
      <c r="I67" s="90"/>
    </row>
    <row r="68" spans="1:9" ht="13.9" x14ac:dyDescent="0.4">
      <c r="B68" s="19" t="s">
        <v>153</v>
      </c>
      <c r="C68" s="71">
        <f>C49-C63</f>
        <v>1898587</v>
      </c>
      <c r="D68" s="29">
        <f t="shared" si="7"/>
        <v>0.46335077086275211</v>
      </c>
      <c r="E68" s="71">
        <f>E49-E63</f>
        <v>879711.75</v>
      </c>
      <c r="F68" s="90"/>
      <c r="G68" s="90"/>
      <c r="H68" s="90"/>
      <c r="I68" s="90"/>
    </row>
    <row r="69" spans="1:9" ht="14.25" thickBot="1" x14ac:dyDescent="0.45">
      <c r="B69" s="129" t="s">
        <v>165</v>
      </c>
      <c r="C69" s="130"/>
      <c r="D69" s="131"/>
      <c r="E69" s="136">
        <f>I49-E64</f>
        <v>592616</v>
      </c>
      <c r="F69" s="90"/>
      <c r="G69" s="90"/>
      <c r="H69" s="90"/>
      <c r="I69" s="90"/>
    </row>
    <row r="70" spans="1:9" ht="14.25" thickTop="1" x14ac:dyDescent="0.4">
      <c r="B70" s="19" t="s">
        <v>156</v>
      </c>
      <c r="C70" s="71">
        <f>C68-E69</f>
        <v>1305971</v>
      </c>
      <c r="D70" s="29">
        <f t="shared" si="7"/>
        <v>0.21983317393724669</v>
      </c>
      <c r="E70" s="71">
        <f>E68-E69</f>
        <v>287095.75</v>
      </c>
      <c r="F70" s="90"/>
      <c r="G70" s="90"/>
      <c r="H70" s="90"/>
      <c r="I70" s="90"/>
    </row>
    <row r="72" spans="1:9" ht="15" customHeight="1" x14ac:dyDescent="0.4">
      <c r="A72" s="5"/>
      <c r="B72" s="111" t="s">
        <v>137</v>
      </c>
      <c r="C72" s="224">
        <f>Data!C5</f>
        <v>45291</v>
      </c>
      <c r="D72" s="224"/>
      <c r="H72" s="50" t="s">
        <v>8</v>
      </c>
    </row>
    <row r="73" spans="1:9" ht="15" customHeight="1" x14ac:dyDescent="0.4">
      <c r="B73" s="12" t="str">
        <f>"(Numbers in "&amp;Data!C4&amp;Dashboard!G6&amp;")"</f>
        <v>(Numbers in 1000000HKD)</v>
      </c>
      <c r="C73" s="223" t="s">
        <v>103</v>
      </c>
      <c r="D73" s="223"/>
      <c r="E73" s="225" t="s">
        <v>104</v>
      </c>
      <c r="F73" s="223"/>
    </row>
    <row r="74" spans="1:9" ht="15" customHeight="1" x14ac:dyDescent="0.4">
      <c r="B74" s="3" t="s">
        <v>136</v>
      </c>
      <c r="C74" s="80">
        <f>Data!C6</f>
        <v>142573</v>
      </c>
      <c r="D74" s="181"/>
      <c r="E74" s="182">
        <f>C74</f>
        <v>142573</v>
      </c>
      <c r="F74" s="181"/>
    </row>
    <row r="75" spans="1:9" ht="15" customHeight="1" x14ac:dyDescent="0.4">
      <c r="B75" s="109" t="s">
        <v>109</v>
      </c>
      <c r="C75" s="80">
        <f>Data!C8</f>
        <v>4079</v>
      </c>
      <c r="D75" s="183">
        <f>C75/$C$74</f>
        <v>2.8609905101246377E-2</v>
      </c>
      <c r="E75" s="182">
        <f>D75*E74</f>
        <v>4078.9999999999995</v>
      </c>
      <c r="F75" s="184">
        <f>E75/$E$74</f>
        <v>2.8609905101246377E-2</v>
      </c>
    </row>
    <row r="76" spans="1:9" ht="15" customHeight="1" x14ac:dyDescent="0.4">
      <c r="B76" s="35" t="s">
        <v>96</v>
      </c>
      <c r="C76" s="185">
        <f>C74-C75</f>
        <v>138494</v>
      </c>
      <c r="D76" s="186"/>
      <c r="E76" s="187">
        <f>E74-E75</f>
        <v>138494</v>
      </c>
      <c r="F76" s="186"/>
    </row>
    <row r="77" spans="1:9" ht="15" customHeight="1" x14ac:dyDescent="0.4">
      <c r="B77" s="109" t="s">
        <v>133</v>
      </c>
      <c r="C77" s="80">
        <f>Data!C10-Data!C12</f>
        <v>16607</v>
      </c>
      <c r="D77" s="183">
        <f>C77/$C$74</f>
        <v>0.11648068007266453</v>
      </c>
      <c r="E77" s="182">
        <f>D77*E74</f>
        <v>16607</v>
      </c>
      <c r="F77" s="184">
        <f>E77/$E$74</f>
        <v>0.11648068007266453</v>
      </c>
    </row>
    <row r="78" spans="1:9" ht="15" customHeight="1" x14ac:dyDescent="0.4">
      <c r="B78" s="35" t="s">
        <v>97</v>
      </c>
      <c r="C78" s="185">
        <f>C76-C77</f>
        <v>121887</v>
      </c>
      <c r="D78" s="186"/>
      <c r="E78" s="187">
        <f>E76-E77</f>
        <v>121887</v>
      </c>
      <c r="F78" s="186"/>
    </row>
    <row r="79" spans="1:9" ht="15" customHeight="1" x14ac:dyDescent="0.4">
      <c r="B79" s="109" t="s">
        <v>129</v>
      </c>
      <c r="C79" s="80">
        <f>Data!C17</f>
        <v>77411</v>
      </c>
      <c r="D79" s="183">
        <f>C79/$C$74</f>
        <v>0.54295694135635775</v>
      </c>
      <c r="E79" s="182">
        <f>C79</f>
        <v>77411</v>
      </c>
      <c r="F79" s="184">
        <f>E79/$E$74</f>
        <v>0.54295694135635775</v>
      </c>
    </row>
    <row r="80" spans="1:9" ht="15" customHeight="1" x14ac:dyDescent="0.4">
      <c r="B80" s="28" t="s">
        <v>135</v>
      </c>
      <c r="C80" s="80">
        <f>Data!C14+MAX(Data!C15,0)</f>
        <v>0</v>
      </c>
      <c r="D80" s="183">
        <f>C80/$C$74</f>
        <v>0</v>
      </c>
      <c r="E80" s="182">
        <f>3%*E74</f>
        <v>4277.1899999999996</v>
      </c>
      <c r="F80" s="184">
        <f t="shared" ref="F80:F83" si="8">E80/$E$74</f>
        <v>0.03</v>
      </c>
    </row>
    <row r="81" spans="1:8" ht="15" customHeight="1" x14ac:dyDescent="0.4">
      <c r="B81" s="28" t="s">
        <v>113</v>
      </c>
      <c r="C81" s="80">
        <f>MAX(Data!C16,0)</f>
        <v>0</v>
      </c>
      <c r="D81" s="183">
        <f>C81/$C$74</f>
        <v>0</v>
      </c>
      <c r="E81" s="182">
        <f>C81</f>
        <v>0</v>
      </c>
      <c r="F81" s="184">
        <f t="shared" si="8"/>
        <v>0</v>
      </c>
      <c r="H81" s="115" t="s">
        <v>141</v>
      </c>
    </row>
    <row r="82" spans="1:8" ht="15" customHeight="1" x14ac:dyDescent="0.4">
      <c r="B82" s="76" t="s">
        <v>190</v>
      </c>
      <c r="C82" s="80">
        <f>MAX(Data!C18,0)</f>
        <v>2134</v>
      </c>
      <c r="D82" s="183">
        <f>C82/$C$74</f>
        <v>1.4967770896312765E-2</v>
      </c>
      <c r="E82" s="182">
        <v>0</v>
      </c>
      <c r="F82" s="184">
        <f t="shared" si="8"/>
        <v>0</v>
      </c>
    </row>
    <row r="83" spans="1:8" ht="15" customHeight="1" thickBot="1" x14ac:dyDescent="0.45">
      <c r="B83" s="110" t="s">
        <v>134</v>
      </c>
      <c r="C83" s="188">
        <f>C78-C79-C80-C81-C82</f>
        <v>42342</v>
      </c>
      <c r="D83" s="189">
        <f>C83/$C$74</f>
        <v>0.29698470257341852</v>
      </c>
      <c r="E83" s="190">
        <f>E78-E79-E80-E81-E82</f>
        <v>40198.81</v>
      </c>
      <c r="F83" s="191">
        <f t="shared" si="8"/>
        <v>0.28195247346973129</v>
      </c>
    </row>
    <row r="84" spans="1:8" ht="15" customHeight="1" thickTop="1" x14ac:dyDescent="0.4">
      <c r="B84" s="28" t="s">
        <v>98</v>
      </c>
      <c r="C84" s="192"/>
      <c r="D84" s="193"/>
      <c r="E84" s="194"/>
      <c r="F84" s="195">
        <v>0.25</v>
      </c>
    </row>
    <row r="85" spans="1:8" ht="15" customHeight="1" x14ac:dyDescent="0.4">
      <c r="B85" s="89" t="s">
        <v>179</v>
      </c>
      <c r="C85" s="185">
        <f>C83*(1-F84)</f>
        <v>31756.5</v>
      </c>
      <c r="D85" s="191">
        <f>C85/$C$74</f>
        <v>0.22273852693006391</v>
      </c>
      <c r="E85" s="196">
        <f>E83*(1-F84)</f>
        <v>30149.107499999998</v>
      </c>
      <c r="F85" s="191">
        <f>E85/$E$74</f>
        <v>0.21146435510229847</v>
      </c>
    </row>
    <row r="86" spans="1:8" ht="15" customHeight="1" x14ac:dyDescent="0.4">
      <c r="B86" s="90" t="s">
        <v>174</v>
      </c>
      <c r="C86" s="197">
        <f>C85*Data!C4/Common_Shares</f>
        <v>3.0036091927610293</v>
      </c>
      <c r="D86" s="181"/>
      <c r="E86" s="198">
        <f>E85*Data!C4/Common_Shares</f>
        <v>2.8515779900348117</v>
      </c>
      <c r="F86" s="181"/>
    </row>
    <row r="87" spans="1:8" ht="15" customHeight="1" x14ac:dyDescent="0.4">
      <c r="B87" s="89" t="s">
        <v>175</v>
      </c>
      <c r="C87" s="199">
        <f>1.145+0.57</f>
        <v>1.7149999999999999</v>
      </c>
      <c r="D87" s="191">
        <f>C87/C86</f>
        <v>0.57097974135027463</v>
      </c>
      <c r="E87" s="200">
        <f>0.91+0.57</f>
        <v>1.48</v>
      </c>
      <c r="F87" s="191">
        <f>E87/E86</f>
        <v>0.5190108792998267</v>
      </c>
    </row>
    <row r="88" spans="1:8" ht="15" customHeight="1" x14ac:dyDescent="0.4">
      <c r="B88" s="28"/>
      <c r="C88" s="91"/>
    </row>
    <row r="89" spans="1:8" ht="15" customHeight="1" x14ac:dyDescent="0.4">
      <c r="A89" s="5"/>
      <c r="B89" s="111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21" t="s">
        <v>170</v>
      </c>
      <c r="E90" s="221"/>
      <c r="G90" s="90"/>
      <c r="H90" s="24"/>
    </row>
    <row r="91" spans="1:8" ht="15" customHeight="1" x14ac:dyDescent="0.4">
      <c r="B91" s="1" t="s">
        <v>192</v>
      </c>
      <c r="C91" s="61" t="s">
        <v>210</v>
      </c>
      <c r="D91" s="222" t="s">
        <v>219</v>
      </c>
      <c r="E91" s="222"/>
      <c r="F91" s="29">
        <f>E86*Exchange_Rate/Dashboard!G3</f>
        <v>0.11052628195192531</v>
      </c>
      <c r="H91" s="161"/>
    </row>
    <row r="92" spans="1:8" ht="15" customHeight="1" x14ac:dyDescent="0.4">
      <c r="B92" s="1" t="str">
        <f>IF(C91="CN",Dashboard!B17,Dashboard!B12)</f>
        <v>Required Return (US)</v>
      </c>
      <c r="C92" s="146">
        <f>IF(C91="CN",Dashboard!C17,IF(C91="US",Dashboard!C12,IF(C91="HK",Dashboard!D12,Dashboard!D17)))</f>
        <v>8.4000000000000005E-2</v>
      </c>
      <c r="D92" s="160">
        <v>5</v>
      </c>
      <c r="E92" s="90" t="s">
        <v>220</v>
      </c>
      <c r="F92" s="159">
        <f>FV(F91,D92,0,-(E86/C92))</f>
        <v>57.339007779005946</v>
      </c>
      <c r="H92" s="161"/>
    </row>
    <row r="93" spans="1:8" ht="15" customHeight="1" x14ac:dyDescent="0.4">
      <c r="H93" s="24"/>
    </row>
    <row r="94" spans="1:8" ht="15" customHeight="1" x14ac:dyDescent="0.4">
      <c r="A94" s="5"/>
      <c r="B94" s="111" t="str">
        <f xml:space="preserve"> "Valuation in "&amp;Dashboard!H3</f>
        <v>Valuation in HKD</v>
      </c>
      <c r="C94" s="137" t="str">
        <f>Dashboard!H3</f>
        <v>HKD</v>
      </c>
      <c r="D94" s="167" t="s">
        <v>221</v>
      </c>
      <c r="E94" s="133" t="s">
        <v>222</v>
      </c>
      <c r="H94" s="24"/>
    </row>
    <row r="95" spans="1:8" ht="15" customHeight="1" x14ac:dyDescent="0.4">
      <c r="B95" s="1" t="s">
        <v>140</v>
      </c>
      <c r="C95" s="95">
        <f>D95*Common_Shares/Data!C4</f>
        <v>405035.38757803204</v>
      </c>
      <c r="D95" s="132">
        <f>PV(C92,D92,0,-F92)*Exchange_Rate</f>
        <v>38.309259947503769</v>
      </c>
      <c r="E95" s="132">
        <f>PV(15%,D92,0,-F92)*Exchange_Rate</f>
        <v>28.507620692809425</v>
      </c>
      <c r="H95" s="24"/>
    </row>
    <row r="96" spans="1:8" ht="15" customHeight="1" x14ac:dyDescent="0.4">
      <c r="B96" s="28" t="s">
        <v>157</v>
      </c>
      <c r="C96" s="95">
        <f>E53*Exchange_Rate</f>
        <v>3361</v>
      </c>
      <c r="D96" s="132">
        <f>C96*Data!$C$4/Common_Shares</f>
        <v>0.3178917858350202</v>
      </c>
      <c r="E96" s="120"/>
      <c r="F96" s="121"/>
      <c r="H96" s="24"/>
    </row>
    <row r="97" spans="2:8" ht="15" customHeight="1" thickBot="1" x14ac:dyDescent="0.45">
      <c r="B97" s="110" t="s">
        <v>158</v>
      </c>
      <c r="C97" s="113">
        <f>(E65+MIN(0,E70))*Exchange_Rate</f>
        <v>-2022160.7</v>
      </c>
      <c r="D97" s="162">
        <f>C97*Data!$C$4/Common_Shares</f>
        <v>-191.26101641427985</v>
      </c>
      <c r="E97" s="163"/>
      <c r="F97" s="134" t="s">
        <v>144</v>
      </c>
      <c r="H97" s="24"/>
    </row>
    <row r="98" spans="2:8" ht="15" customHeight="1" thickTop="1" x14ac:dyDescent="0.4">
      <c r="B98" s="1" t="s">
        <v>119</v>
      </c>
      <c r="C98" s="95">
        <f>C95-C96+$C$97</f>
        <v>-1620486.312421968</v>
      </c>
      <c r="D98" s="114">
        <f>MAX(C98*Data!$C$4/Common_Shares,0)</f>
        <v>0</v>
      </c>
      <c r="E98" s="114">
        <f>E95*Exchange_Rate-D96+D97</f>
        <v>-163.07128750730544</v>
      </c>
      <c r="F98" s="114">
        <f>D98*1.25</f>
        <v>0</v>
      </c>
      <c r="H98" s="24"/>
    </row>
    <row r="99" spans="2:8" ht="15" customHeight="1" x14ac:dyDescent="0.4">
      <c r="H99" s="24"/>
    </row>
    <row r="100" spans="2:8" ht="15" customHeight="1" x14ac:dyDescent="0.4">
      <c r="B100" s="10" t="s">
        <v>177</v>
      </c>
      <c r="C100" s="137" t="str">
        <f>C94</f>
        <v>HKD</v>
      </c>
      <c r="D100" s="168">
        <v>0.02</v>
      </c>
      <c r="E100" s="133" t="s">
        <v>143</v>
      </c>
      <c r="F100" s="134" t="s">
        <v>144</v>
      </c>
      <c r="H100" s="24"/>
    </row>
    <row r="101" spans="2:8" ht="15" customHeight="1" x14ac:dyDescent="0.4">
      <c r="B101" s="1" t="s">
        <v>176</v>
      </c>
      <c r="C101" s="95">
        <f>D101*Common_Shares/Data!C4</f>
        <v>244495.54365124999</v>
      </c>
      <c r="D101" s="132">
        <f>E87/(C92-D100)*Exchange_Rate</f>
        <v>23.125</v>
      </c>
      <c r="E101" s="114">
        <f>D101*(1-25%)</f>
        <v>17.34375</v>
      </c>
      <c r="F101" s="114">
        <f>D101*1.25</f>
        <v>28.90625</v>
      </c>
      <c r="H101" s="24"/>
    </row>
    <row r="102" spans="2:8" ht="15" customHeight="1" x14ac:dyDescent="0.4">
      <c r="H102" s="24"/>
    </row>
    <row r="103" spans="2:8" ht="15" customHeight="1" x14ac:dyDescent="0.4">
      <c r="B103" s="10" t="s">
        <v>223</v>
      </c>
      <c r="C103" s="137" t="str">
        <f>C100</f>
        <v>HKD</v>
      </c>
      <c r="D103" s="137" t="s">
        <v>233</v>
      </c>
      <c r="E103" s="133" t="s">
        <v>143</v>
      </c>
      <c r="F103" s="134" t="s">
        <v>144</v>
      </c>
      <c r="H103" s="24"/>
    </row>
    <row r="104" spans="2:8" ht="15" customHeight="1" x14ac:dyDescent="0.4">
      <c r="B104" s="1" t="s">
        <v>224</v>
      </c>
      <c r="C104" s="95">
        <f>D104*Common_Shares/Data!C4</f>
        <v>122247.77182562499</v>
      </c>
      <c r="D104" s="132">
        <f>(D98+D101)/2</f>
        <v>11.5625</v>
      </c>
      <c r="E104" s="114">
        <f>D104*(1-25%)</f>
        <v>8.671875</v>
      </c>
      <c r="F104" s="114">
        <f>D104*1.25</f>
        <v>14.453125</v>
      </c>
    </row>
    <row r="106" spans="2:8" ht="15" customHeight="1" x14ac:dyDescent="0.4">
      <c r="B106" s="10" t="s">
        <v>180</v>
      </c>
      <c r="C106" s="138" t="s">
        <v>234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2024-11-11T05:45:51Z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EA5A0BA7-AB06-4971-9D6A-12C93111B133</vt:lpwstr>
  </property>
</Properties>
</file>